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seur-my.sharepoint.com/personal/bruno_pimenta_poseur_portugal2020_pt/Documents/Desktop/"/>
    </mc:Choice>
  </mc:AlternateContent>
  <xr:revisionPtr revIDLastSave="0" documentId="8_{13DA1536-FBB7-442A-B52B-39956DAF5B81}" xr6:coauthVersionLast="47" xr6:coauthVersionMax="47" xr10:uidLastSave="{00000000-0000-0000-0000-000000000000}"/>
  <bookViews>
    <workbookView xWindow="-108" yWindow="-108" windowWidth="23256" windowHeight="12576" xr2:uid="{C0A103B9-17FD-4DF4-BC29-53028621BF52}"/>
  </bookViews>
  <sheets>
    <sheet name="1. Dados_Veículos_e_Postos Abas" sheetId="1" r:id="rId1"/>
    <sheet name="2. Indicadores" sheetId="4" r:id="rId2"/>
    <sheet name="3. Critérios Seleção" sheetId="6" r:id="rId3"/>
    <sheet name="4.Fatores Conversão" sheetId="3" r:id="rId4"/>
  </sheets>
  <externalReferences>
    <externalReference r:id="rId5"/>
  </externalReferences>
  <definedNames>
    <definedName name="ListaE">[1]Listas!$D$3:$D$7</definedName>
    <definedName name="ListaM1">[1]Listas!$E$3:$E$6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6" l="1"/>
  <c r="I13" i="6" s="1"/>
  <c r="G8" i="6" l="1"/>
  <c r="F5" i="4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0" i="1" a="1"/>
  <c r="I20" i="1" s="1"/>
  <c r="J20" i="1" s="1"/>
  <c r="H20" i="1"/>
  <c r="H19" i="1"/>
  <c r="I19" i="1" a="1"/>
  <c r="I19" i="1" s="1"/>
  <c r="J19" i="1" s="1"/>
  <c r="I18" i="1" a="1"/>
  <c r="I18" i="1" s="1"/>
  <c r="J18" i="1" s="1"/>
  <c r="H18" i="1"/>
  <c r="H17" i="1"/>
  <c r="I17" i="1" a="1"/>
  <c r="I17" i="1" s="1"/>
  <c r="J17" i="1" s="1"/>
  <c r="I16" i="1" a="1"/>
  <c r="I16" i="1" s="1"/>
  <c r="J16" i="1" s="1"/>
  <c r="H16" i="1"/>
  <c r="H15" i="1"/>
  <c r="I15" i="1" a="1"/>
  <c r="I15" i="1" s="1"/>
  <c r="J15" i="1" s="1"/>
  <c r="I14" i="1" a="1"/>
  <c r="I14" i="1" s="1"/>
  <c r="J14" i="1" s="1"/>
  <c r="H14" i="1"/>
  <c r="H13" i="1"/>
  <c r="I13" i="1" a="1"/>
  <c r="I13" i="1" s="1"/>
  <c r="J13" i="1" s="1"/>
  <c r="I12" i="1" a="1"/>
  <c r="I12" i="1" s="1"/>
  <c r="J12" i="1" s="1"/>
  <c r="H12" i="1"/>
  <c r="I22" i="1" l="1" a="1"/>
  <c r="I22" i="1" s="1"/>
  <c r="J22" i="1" s="1"/>
  <c r="I24" i="1" a="1"/>
  <c r="I24" i="1" s="1"/>
  <c r="J24" i="1" s="1"/>
  <c r="I25" i="1" a="1"/>
  <c r="I25" i="1" s="1"/>
  <c r="J25" i="1" s="1"/>
  <c r="I27" i="1" a="1"/>
  <c r="I27" i="1" s="1"/>
  <c r="J27" i="1" s="1"/>
  <c r="I28" i="1" a="1"/>
  <c r="I28" i="1" s="1"/>
  <c r="J28" i="1" s="1"/>
  <c r="I30" i="1" a="1"/>
  <c r="I30" i="1" s="1"/>
  <c r="J30" i="1" s="1"/>
  <c r="I31" i="1" a="1"/>
  <c r="I31" i="1" s="1"/>
  <c r="J31" i="1" s="1"/>
  <c r="I32" i="1" a="1"/>
  <c r="I32" i="1" s="1"/>
  <c r="J32" i="1" s="1"/>
  <c r="I34" i="1" a="1"/>
  <c r="I34" i="1" s="1"/>
  <c r="J34" i="1" s="1"/>
  <c r="I35" i="1" a="1"/>
  <c r="I35" i="1" s="1"/>
  <c r="J35" i="1" s="1"/>
  <c r="I36" i="1" a="1"/>
  <c r="I36" i="1" s="1"/>
  <c r="J36" i="1" s="1"/>
  <c r="I37" i="1" a="1"/>
  <c r="I37" i="1" s="1"/>
  <c r="J37" i="1" s="1"/>
  <c r="I39" i="1" a="1"/>
  <c r="I39" i="1" s="1"/>
  <c r="J39" i="1" s="1"/>
  <c r="I40" i="1" a="1"/>
  <c r="I40" i="1" s="1"/>
  <c r="J40" i="1" s="1"/>
  <c r="I41" i="1" a="1"/>
  <c r="I41" i="1" s="1"/>
  <c r="J41" i="1" s="1"/>
  <c r="I42" i="1" a="1"/>
  <c r="I42" i="1" s="1"/>
  <c r="J42" i="1" s="1"/>
  <c r="I43" i="1" a="1"/>
  <c r="I43" i="1" s="1"/>
  <c r="J43" i="1" s="1"/>
  <c r="I44" i="1" a="1"/>
  <c r="I44" i="1" s="1"/>
  <c r="J44" i="1" s="1"/>
  <c r="I46" i="1" a="1"/>
  <c r="I46" i="1" s="1"/>
  <c r="J46" i="1" s="1"/>
  <c r="I47" i="1" a="1"/>
  <c r="I47" i="1" s="1"/>
  <c r="J47" i="1" s="1"/>
  <c r="I48" i="1" a="1"/>
  <c r="I48" i="1" s="1"/>
  <c r="J48" i="1" s="1"/>
  <c r="I49" i="1" a="1"/>
  <c r="I49" i="1" s="1"/>
  <c r="J49" i="1" s="1"/>
  <c r="I21" i="1" a="1"/>
  <c r="I21" i="1" s="1"/>
  <c r="J21" i="1" s="1"/>
  <c r="I23" i="1" a="1"/>
  <c r="I23" i="1" s="1"/>
  <c r="J23" i="1" s="1"/>
  <c r="I26" i="1" a="1"/>
  <c r="I26" i="1" s="1"/>
  <c r="J26" i="1" s="1"/>
  <c r="I29" i="1" a="1"/>
  <c r="I29" i="1" s="1"/>
  <c r="J29" i="1" s="1"/>
  <c r="I33" i="1" a="1"/>
  <c r="I33" i="1" s="1"/>
  <c r="J33" i="1" s="1"/>
  <c r="I38" i="1" a="1"/>
  <c r="I38" i="1" s="1"/>
  <c r="J38" i="1" s="1"/>
  <c r="I45" i="1" a="1"/>
  <c r="I45" i="1" s="1"/>
  <c r="J45" i="1" s="1"/>
  <c r="H11" i="1" l="1"/>
  <c r="I11" i="1" l="1" a="1"/>
  <c r="I11" i="1" s="1"/>
  <c r="J11" i="1" s="1"/>
  <c r="N11" i="1"/>
  <c r="O11" i="1" s="1"/>
  <c r="E11" i="6" l="1"/>
  <c r="N50" i="1" l="1"/>
  <c r="O50" i="1" l="1"/>
  <c r="I50" i="1" l="1"/>
  <c r="G5" i="6" s="1"/>
  <c r="H5" i="6" s="1"/>
  <c r="I5" i="6" s="1"/>
  <c r="F6" i="4" l="1"/>
  <c r="F3" i="4"/>
  <c r="A50" i="1"/>
  <c r="F4" i="4" l="1"/>
  <c r="G7" i="6"/>
  <c r="H7" i="6" s="1"/>
  <c r="I7" i="6" s="1"/>
  <c r="F50" i="1"/>
  <c r="B6" i="3"/>
  <c r="J50" i="1" l="1"/>
  <c r="F2" i="4" l="1"/>
  <c r="G6" i="6"/>
  <c r="H6" i="6" s="1"/>
  <c r="I6" i="6" s="1"/>
  <c r="G9" i="6"/>
  <c r="G10" i="6" l="1"/>
  <c r="H8" i="6" s="1"/>
  <c r="I8" i="6" s="1"/>
  <c r="I11" i="6" l="1"/>
  <c r="I14" i="6" s="1"/>
  <c r="H16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<sst xmlns="http://schemas.openxmlformats.org/spreadsheetml/2006/main" count="230" uniqueCount="144">
  <si>
    <t>Cod Indicador</t>
  </si>
  <si>
    <t>Designação</t>
  </si>
  <si>
    <t>Unidade</t>
  </si>
  <si>
    <t>Valor Referência</t>
  </si>
  <si>
    <t>O.04.05.01.C</t>
  </si>
  <si>
    <t>Diminuição anual estimada das emissões de Gases com Efeito de Estufa</t>
  </si>
  <si>
    <t>Toneladas de CO2 equivalente</t>
  </si>
  <si>
    <t>O.04.05.03.E</t>
  </si>
  <si>
    <t>Economias de energia nos projetos apoiados no setor dos transportes</t>
  </si>
  <si>
    <t>Tep</t>
  </si>
  <si>
    <t>R.04.05.05.P</t>
  </si>
  <si>
    <t>Poupança de energia primária nas frotas de transportes públicos no âmbito da operação</t>
  </si>
  <si>
    <t>%</t>
  </si>
  <si>
    <t>N.º viaturas</t>
  </si>
  <si>
    <t>[Km]</t>
  </si>
  <si>
    <t>Consumo</t>
  </si>
  <si>
    <t>Unidades</t>
  </si>
  <si>
    <t>[Tep/ano]</t>
  </si>
  <si>
    <t xml:space="preserve">  [Kg CO2eq/ano]</t>
  </si>
  <si>
    <t>Gasóleo</t>
  </si>
  <si>
    <t>m3(1000 Litros)</t>
  </si>
  <si>
    <t>Veículos a Adquirir</t>
  </si>
  <si>
    <t>Tipo Combustível</t>
  </si>
  <si>
    <t>Teor Energético</t>
  </si>
  <si>
    <t>Fonte</t>
  </si>
  <si>
    <t>Valor</t>
  </si>
  <si>
    <t>DGEG - Balanço Energético/Estatística</t>
  </si>
  <si>
    <t>Gasolina</t>
  </si>
  <si>
    <t>DGEG - Balanço Energético</t>
  </si>
  <si>
    <t>Gás Auto/GPL</t>
  </si>
  <si>
    <t>tep/Ton</t>
  </si>
  <si>
    <t>Gás Natural Comprimido</t>
  </si>
  <si>
    <t>Valor das Guidelines IPCC 2006 (APA)</t>
  </si>
  <si>
    <t>Gás Natural Liquefeito</t>
  </si>
  <si>
    <t>Eletricidade</t>
  </si>
  <si>
    <t>tep/GWh</t>
  </si>
  <si>
    <t>Hidrogénio</t>
  </si>
  <si>
    <t>Emissões de GEE:</t>
  </si>
  <si>
    <t>Fator de conversão emissões GEE</t>
  </si>
  <si>
    <t>kgCO2/tep</t>
  </si>
  <si>
    <t>APA</t>
  </si>
  <si>
    <t xml:space="preserve"> </t>
  </si>
  <si>
    <t>Nº</t>
  </si>
  <si>
    <t>Estimativa do consumo médio por 100 km</t>
  </si>
  <si>
    <t>Estimativa do n.º km anuais a percorrer</t>
  </si>
  <si>
    <t>KWh</t>
  </si>
  <si>
    <r>
      <t>tep/m</t>
    </r>
    <r>
      <rPr>
        <vertAlign val="superscript"/>
        <sz val="9"/>
        <color indexed="8"/>
        <rFont val="Calibri"/>
        <family val="2"/>
      </rPr>
      <t>3</t>
    </r>
    <r>
      <rPr>
        <sz val="9"/>
        <color theme="1"/>
        <rFont val="Calibri"/>
        <family val="2"/>
        <scheme val="minor"/>
      </rPr>
      <t>(1000 Litros)</t>
    </r>
  </si>
  <si>
    <r>
      <t>tep/10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Nm</t>
    </r>
    <r>
      <rPr>
        <vertAlign val="superscript"/>
        <sz val="9"/>
        <color indexed="8"/>
        <rFont val="Calibri"/>
        <family val="2"/>
      </rPr>
      <t>3</t>
    </r>
  </si>
  <si>
    <t>ton</t>
  </si>
  <si>
    <t>Categoria</t>
  </si>
  <si>
    <t>Classe</t>
  </si>
  <si>
    <t>M2</t>
  </si>
  <si>
    <t>M3</t>
  </si>
  <si>
    <t>I</t>
  </si>
  <si>
    <t>II</t>
  </si>
  <si>
    <t>III</t>
  </si>
  <si>
    <t>A</t>
  </si>
  <si>
    <t>B</t>
  </si>
  <si>
    <t>Comprimento</t>
  </si>
  <si>
    <t>reforço da frota do beneficiário</t>
  </si>
  <si>
    <t xml:space="preserve">renovação da frota existente </t>
  </si>
  <si>
    <t>Tipo de Combustivel</t>
  </si>
  <si>
    <t>Estimativa consumo anual</t>
  </si>
  <si>
    <r>
      <t>10</t>
    </r>
    <r>
      <rPr>
        <vertAlign val="superscript"/>
        <sz val="9"/>
        <rFont val="Calibri"/>
        <family val="2"/>
        <scheme val="minor"/>
      </rPr>
      <t>3</t>
    </r>
    <r>
      <rPr>
        <sz val="9"/>
        <rFont val="Calibri"/>
        <family val="2"/>
        <scheme val="minor"/>
      </rPr>
      <t xml:space="preserve"> Nm</t>
    </r>
    <r>
      <rPr>
        <vertAlign val="superscript"/>
        <sz val="9"/>
        <rFont val="Calibri"/>
        <family val="2"/>
        <scheme val="minor"/>
      </rPr>
      <t>3</t>
    </r>
  </si>
  <si>
    <t>O.04.05.09.P</t>
  </si>
  <si>
    <t xml:space="preserve">Veículos de transporte público movidos a fontes de energia mais limpas </t>
  </si>
  <si>
    <t>O.04.05.07.G</t>
  </si>
  <si>
    <t>Postos de abastecimento de fontes de energia mais limpas para frotas de transportes públicos</t>
  </si>
  <si>
    <t>Contratualização (Sim/Não)</t>
  </si>
  <si>
    <t>Sim</t>
  </si>
  <si>
    <t>Não</t>
  </si>
  <si>
    <t>Anexo II - Parâmetros e Ponderações a Considerar na Avaliação dos Critérios de Seleção</t>
  </si>
  <si>
    <t>Critérios de Seleção</t>
  </si>
  <si>
    <t>Densificação dos 
Critérios de Seleção</t>
  </si>
  <si>
    <t>Parâmetros de avaliação dos 
Critérios de Seleção</t>
  </si>
  <si>
    <t>Tipologia de operação prevista no ponto n.º 3 do Aviso</t>
  </si>
  <si>
    <t xml:space="preserve">Eficácia </t>
  </si>
  <si>
    <t>a) Contributo para o indicador definido para o Objetivo Específico</t>
  </si>
  <si>
    <t>Será avaliado o grau de redução de emissões de CO2 equivalente, por Km, associadas ao resultado das ações do projeto, sendo valorizado o maior rácio</t>
  </si>
  <si>
    <t>Adequação à Estratégia Setorial</t>
  </si>
  <si>
    <t>Será avaliada a intensidade do contributo da operação para a meta de incorporação de energias renováveis no setor dos transportes, constante do Plano Nacional de Ação para as Energias Renováveis (PNAER), através do contributo da operação para a execução das medidas daquele Plano.</t>
  </si>
  <si>
    <t>Eficiência, Sustentabilidade e Inovação</t>
  </si>
  <si>
    <t>Será avaliado o rácio entre o investimento (€) e a redução de emissões (kgCO2) decorrente da implementação da operação, sendo valorizado o menor rácio.</t>
  </si>
  <si>
    <r>
      <t xml:space="preserve">Ponderação </t>
    </r>
    <r>
      <rPr>
        <sz val="9"/>
        <color theme="1"/>
        <rFont val="Calibri"/>
        <family val="2"/>
        <scheme val="minor"/>
      </rPr>
      <t>(P)</t>
    </r>
    <r>
      <rPr>
        <b/>
        <sz val="9"/>
        <color theme="1"/>
        <rFont val="Calibri"/>
        <family val="2"/>
        <scheme val="minor"/>
      </rPr>
      <t xml:space="preserve"> dos Critérios (%)</t>
    </r>
  </si>
  <si>
    <r>
      <t xml:space="preserve">
</t>
    </r>
    <r>
      <rPr>
        <sz val="9"/>
        <rFont val="Calibri"/>
        <family val="2"/>
        <scheme val="minor"/>
      </rPr>
      <t>Será avaliada a redução média anual de consumo de energia prevista por frota de transporte público abrangida pela operação</t>
    </r>
  </si>
  <si>
    <r>
      <rPr>
        <b/>
        <sz val="9"/>
        <color theme="1"/>
        <rFont val="Calibri"/>
        <family val="2"/>
        <scheme val="minor"/>
      </rPr>
      <t>c)</t>
    </r>
    <r>
      <rPr>
        <sz val="9"/>
        <color theme="1"/>
        <rFont val="Calibri"/>
        <family val="2"/>
        <scheme val="minor"/>
      </rPr>
      <t xml:space="preserve"> Contributo para a redução das emissões de CO2</t>
    </r>
  </si>
  <si>
    <r>
      <rPr>
        <b/>
        <sz val="9"/>
        <color theme="1"/>
        <rFont val="Calibri"/>
        <family val="2"/>
        <scheme val="minor"/>
      </rPr>
      <t>e)</t>
    </r>
    <r>
      <rPr>
        <sz val="9"/>
        <color theme="1"/>
        <rFont val="Calibri"/>
        <family val="2"/>
        <scheme val="minor"/>
      </rPr>
      <t xml:space="preserve"> Contributo para a promoção da utilização de energias renováveis nos transportes</t>
    </r>
  </si>
  <si>
    <r>
      <rPr>
        <b/>
        <sz val="9"/>
        <color theme="1"/>
        <rFont val="Calibri"/>
        <family val="2"/>
        <scheme val="minor"/>
      </rPr>
      <t>f)</t>
    </r>
    <r>
      <rPr>
        <sz val="9"/>
        <color theme="1"/>
        <rFont val="Calibri"/>
        <family val="2"/>
        <scheme val="minor"/>
      </rPr>
      <t xml:space="preserve"> Avaliação da racionalidade económica da intervenção</t>
    </r>
  </si>
  <si>
    <t>Critério</t>
  </si>
  <si>
    <t>Redução média anual de consumo de energia primária, Tep/km, em termos percentuais</t>
  </si>
  <si>
    <t>Redução de emissões de CO2, por km, em termos percentuais</t>
  </si>
  <si>
    <t>n.º veículos</t>
  </si>
  <si>
    <t>Investimento total em Autocarros Limpos [€]</t>
  </si>
  <si>
    <t xml:space="preserve">Total anual das emissões de GEE evitadas [kgC02eq] </t>
  </si>
  <si>
    <t>Rácio entre o investimento e a redução média das emissões de GEE [€/KgCO2eq]</t>
  </si>
  <si>
    <t>Pontuação</t>
  </si>
  <si>
    <t>Pontuação final</t>
  </si>
  <si>
    <t>Tipo</t>
  </si>
  <si>
    <t>Avaliação final</t>
  </si>
  <si>
    <t>Veículos equivalentes - Diesel Euro VI</t>
  </si>
  <si>
    <t>1. Informação Veículos</t>
  </si>
  <si>
    <t>2. Informação Infraestruturas de Abastecimento</t>
  </si>
  <si>
    <t>Estimativa do consumo médio por 100 km - Veiculos Eletricidade/Hidrogénio</t>
  </si>
  <si>
    <t>Estimativa do consumo médio por 100 km - Veiculos Diesel Euro VI</t>
  </si>
  <si>
    <t>Documentos suporte - Designação Ficheiros incluidos na candidatura</t>
  </si>
  <si>
    <t>Meta</t>
  </si>
  <si>
    <t>Emissões de GEE dos veículos equivalentes</t>
  </si>
  <si>
    <t>Emissões de GEE dos veículos a adquirir</t>
  </si>
  <si>
    <t>N.º kms a percorrer pelos autocarros a adquirir</t>
  </si>
  <si>
    <r>
      <t xml:space="preserve">Será avaliado o contributo da operação para a execução das medidas do PNAER:
- Aquisição de pelo menos 5  veículos movidos a combustível que incorpore fontes de origem renovável - </t>
    </r>
    <r>
      <rPr>
        <b/>
        <sz val="9"/>
        <rFont val="Calibri"/>
        <family val="2"/>
        <scheme val="minor"/>
      </rPr>
      <t>5 pontos</t>
    </r>
    <r>
      <rPr>
        <sz val="9"/>
        <rFont val="Calibri"/>
        <family val="2"/>
        <scheme val="minor"/>
      </rPr>
      <t xml:space="preserve">;
- Aquisição entre 2 a 4 veículos movidos a combustível que incorpore fontes de origem renovável - </t>
    </r>
    <r>
      <rPr>
        <b/>
        <sz val="9"/>
        <rFont val="Calibri"/>
        <family val="2"/>
        <scheme val="minor"/>
      </rPr>
      <t>3 pontos</t>
    </r>
    <r>
      <rPr>
        <sz val="9"/>
        <rFont val="Calibri"/>
        <family val="2"/>
        <scheme val="minor"/>
      </rPr>
      <t>;
- Aquisição de 1 veículo movido a combustível que incorpore fontes de origem renovável -</t>
    </r>
    <r>
      <rPr>
        <b/>
        <sz val="9"/>
        <rFont val="Calibri"/>
        <family val="2"/>
        <scheme val="minor"/>
      </rPr>
      <t xml:space="preserve"> 2 pontos</t>
    </r>
    <r>
      <rPr>
        <sz val="9"/>
        <rFont val="Calibri"/>
        <family val="2"/>
        <scheme val="minor"/>
      </rPr>
      <t xml:space="preserve">;
</t>
    </r>
  </si>
  <si>
    <r>
      <t>Será avaliado o rácio entre o investimento total (€) em Autocarros Limpos e a redução anual de emissões (kgCO2) decorrente da implementação da operação:
Rácio até 15 (€/kgCO2) -</t>
    </r>
    <r>
      <rPr>
        <b/>
        <sz val="9"/>
        <rFont val="Calibri"/>
        <family val="2"/>
        <scheme val="minor"/>
      </rPr>
      <t xml:space="preserve"> 5 pontos</t>
    </r>
    <r>
      <rPr>
        <sz val="9"/>
        <rFont val="Calibri"/>
        <family val="2"/>
        <scheme val="minor"/>
      </rPr>
      <t xml:space="preserve">;
Rácio superior a 15 (€/kgCO2) e até 20 (€/kgCO2) - </t>
    </r>
    <r>
      <rPr>
        <b/>
        <sz val="9"/>
        <rFont val="Calibri"/>
        <family val="2"/>
        <scheme val="minor"/>
      </rPr>
      <t>3 pontos</t>
    </r>
    <r>
      <rPr>
        <sz val="9"/>
        <rFont val="Calibri"/>
        <family val="2"/>
        <scheme val="minor"/>
      </rPr>
      <t xml:space="preserve">; 
Rácio superior a 20 (€/kgCO2) e até 25 (€/kgCO2) - </t>
    </r>
    <r>
      <rPr>
        <b/>
        <sz val="9"/>
        <rFont val="Calibri"/>
        <family val="2"/>
        <scheme val="minor"/>
      </rPr>
      <t>2 pontos</t>
    </r>
    <r>
      <rPr>
        <sz val="9"/>
        <rFont val="Calibri"/>
        <family val="2"/>
        <scheme val="minor"/>
      </rPr>
      <t xml:space="preserve">; 
Rácio superior a 25 (€/kgCO2) - </t>
    </r>
    <r>
      <rPr>
        <b/>
        <sz val="9"/>
        <rFont val="Calibri"/>
        <family val="2"/>
        <scheme val="minor"/>
      </rPr>
      <t>1 ponto</t>
    </r>
    <r>
      <rPr>
        <sz val="9"/>
        <rFont val="Calibri"/>
        <family val="2"/>
        <scheme val="minor"/>
      </rPr>
      <t xml:space="preserve">.
</t>
    </r>
    <r>
      <rPr>
        <b/>
        <sz val="9"/>
        <rFont val="Calibri"/>
        <family val="2"/>
        <scheme val="minor"/>
      </rPr>
      <t xml:space="preserve">Rácio </t>
    </r>
    <r>
      <rPr>
        <sz val="9"/>
        <rFont val="Calibri"/>
        <family val="2"/>
        <scheme val="minor"/>
      </rPr>
      <t>= Investimento total (€) em Autocarros Limpos / (Total anual emissões kgC02eq dos autocarros existentes a substituir - Total anual emissões kgC02eq dos Autocarros Limpos a adquirir )</t>
    </r>
  </si>
  <si>
    <t>até 7 m</t>
  </si>
  <si>
    <t>entre 7 e 10 m</t>
  </si>
  <si>
    <t>mais de 10 m</t>
  </si>
  <si>
    <r>
      <t xml:space="preserve">Será avaliado o contributo da implementação da operação (entrada em funcionamento da totalidade dos Autocarros Limpos a adquirir) para a redução média anual de consumo de energia primária, Tep/km, em termos percentuais :
- Redução superior a 70%  - </t>
    </r>
    <r>
      <rPr>
        <b/>
        <sz val="9"/>
        <rFont val="Calibri"/>
        <family val="2"/>
        <scheme val="minor"/>
      </rPr>
      <t>5 pontos</t>
    </r>
    <r>
      <rPr>
        <sz val="9"/>
        <rFont val="Calibri"/>
        <family val="2"/>
        <scheme val="minor"/>
      </rPr>
      <t xml:space="preserve">;
- Redução superior a 30% e até 70% - </t>
    </r>
    <r>
      <rPr>
        <b/>
        <sz val="9"/>
        <rFont val="Calibri"/>
        <family val="2"/>
        <scheme val="minor"/>
      </rPr>
      <t>3 pontos</t>
    </r>
    <r>
      <rPr>
        <sz val="9"/>
        <rFont val="Calibri"/>
        <family val="2"/>
        <scheme val="minor"/>
      </rPr>
      <t xml:space="preserve">;
- Redução até 30 %  - </t>
    </r>
    <r>
      <rPr>
        <b/>
        <sz val="9"/>
        <rFont val="Calibri"/>
        <family val="2"/>
        <scheme val="minor"/>
      </rPr>
      <t>1 ponto</t>
    </r>
    <r>
      <rPr>
        <sz val="9"/>
        <rFont val="Calibri"/>
        <family val="2"/>
        <scheme val="minor"/>
      </rPr>
      <t xml:space="preserve">;
</t>
    </r>
    <r>
      <rPr>
        <b/>
        <sz val="9"/>
        <rFont val="Calibri"/>
        <family val="2"/>
        <scheme val="minor"/>
      </rPr>
      <t>Rácio</t>
    </r>
    <r>
      <rPr>
        <sz val="9"/>
        <rFont val="Calibri"/>
        <family val="2"/>
        <scheme val="minor"/>
      </rPr>
      <t xml:space="preserve"> = (Média anual Teps/km dos autocarros equivalentes diesel euro 6 - Média anual Teps/km dos Autocarros Limpos a adquirir) / Média anual Teps/km dos autocarros equivalentes diesel euro 6</t>
    </r>
  </si>
  <si>
    <r>
      <t xml:space="preserve">Será avaliado o contributo da implementação da operação (entrada em funcionamento da totalidade dos Autocarros Limpos a adquirir) para a redução de emissões de CO2, por km, em termos percentuais :
- Redução superior a 50 ton CO2eq/ano das emissões - </t>
    </r>
    <r>
      <rPr>
        <b/>
        <sz val="9"/>
        <rFont val="Calibri"/>
        <family val="2"/>
        <scheme val="minor"/>
      </rPr>
      <t>5 pontos</t>
    </r>
    <r>
      <rPr>
        <sz val="9"/>
        <rFont val="Calibri"/>
        <family val="2"/>
        <scheme val="minor"/>
      </rPr>
      <t xml:space="preserve">;
- Redução superior a 5 ton CO2eq/ano e até 50 ton CO2eq/ano das emissões - </t>
    </r>
    <r>
      <rPr>
        <b/>
        <sz val="9"/>
        <rFont val="Calibri"/>
        <family val="2"/>
        <scheme val="minor"/>
      </rPr>
      <t>3 pontos</t>
    </r>
    <r>
      <rPr>
        <sz val="9"/>
        <rFont val="Calibri"/>
        <family val="2"/>
        <scheme val="minor"/>
      </rPr>
      <t xml:space="preserve">;
- Redução até 5 ton CO2eq/ano - </t>
    </r>
    <r>
      <rPr>
        <b/>
        <sz val="9"/>
        <rFont val="Calibri"/>
        <family val="2"/>
        <scheme val="minor"/>
      </rPr>
      <t>1 ponto</t>
    </r>
    <r>
      <rPr>
        <sz val="9"/>
        <rFont val="Calibri"/>
        <family val="2"/>
        <scheme val="minor"/>
      </rPr>
      <t xml:space="preserve">;
</t>
    </r>
    <r>
      <rPr>
        <b/>
        <sz val="9"/>
        <rFont val="Calibri"/>
        <family val="2"/>
        <scheme val="minor"/>
      </rPr>
      <t>Rácio</t>
    </r>
    <r>
      <rPr>
        <sz val="9"/>
        <rFont val="Calibri"/>
        <family val="2"/>
        <scheme val="minor"/>
      </rPr>
      <t xml:space="preserve"> = (Média anual emissões kgC02eq/km dos autocarros equivalentes diesel euro 6 - Média anual emissões kgC02eq/km dos Autocarros Limpos a adquirir) </t>
    </r>
  </si>
  <si>
    <t>Preencher folha 1. células a laranja</t>
  </si>
  <si>
    <t>N.º de Postos*</t>
  </si>
  <si>
    <t>* eletricidade - corresponde ao n.º carregadores a instalar</t>
  </si>
  <si>
    <t>Coeficiente de majoração</t>
  </si>
  <si>
    <t>a) Destino do investimento a realizar no âmbito da operação em Municípios integrados nos subsistemas territoriais a estruturar (PNPOT)</t>
  </si>
  <si>
    <t>Avaliação final após majoração</t>
  </si>
  <si>
    <t>sim</t>
  </si>
  <si>
    <t>não</t>
  </si>
  <si>
    <r>
      <t xml:space="preserve">O investimento a realizar destina-se maioritariamente a Municípios integrados nos </t>
    </r>
    <r>
      <rPr>
        <b/>
        <u/>
        <sz val="9"/>
        <color theme="1"/>
        <rFont val="Calibri"/>
        <family val="2"/>
        <scheme val="minor"/>
      </rPr>
      <t xml:space="preserve">subsistemas territoriais a estruturar </t>
    </r>
    <r>
      <rPr>
        <sz val="9"/>
        <color theme="1"/>
        <rFont val="Calibri"/>
        <family val="2"/>
        <scheme val="minor"/>
      </rPr>
      <t>(PNPOT)? 
(</t>
    </r>
    <r>
      <rPr>
        <b/>
        <sz val="9"/>
        <color theme="1"/>
        <rFont val="Calibri"/>
        <family val="2"/>
        <scheme val="minor"/>
      </rPr>
      <t>sim</t>
    </r>
    <r>
      <rPr>
        <sz val="9"/>
        <color theme="1"/>
        <rFont val="Calibri"/>
        <family val="2"/>
        <scheme val="minor"/>
      </rPr>
      <t xml:space="preserve"> - aplicação de um coeficiente de majoração de 1,20, </t>
    </r>
    <r>
      <rPr>
        <b/>
        <sz val="9"/>
        <color theme="1"/>
        <rFont val="Calibri"/>
        <family val="2"/>
        <scheme val="minor"/>
      </rPr>
      <t>não</t>
    </r>
    <r>
      <rPr>
        <sz val="9"/>
        <color theme="1"/>
        <rFont val="Calibri"/>
        <family val="2"/>
        <scheme val="minor"/>
      </rPr>
      <t>-sem aplicação de coficiente de majoração)</t>
    </r>
  </si>
  <si>
    <t>Alfândega da Fé</t>
  </si>
  <si>
    <t>Freixo de Espada à Cinta</t>
  </si>
  <si>
    <t>Mogadouro</t>
  </si>
  <si>
    <t>Torre de Moncorvo</t>
  </si>
  <si>
    <t>Vila Nova de Foz Côa</t>
  </si>
  <si>
    <t>São João da Pesqueira</t>
  </si>
  <si>
    <t>Oleiros</t>
  </si>
  <si>
    <t>Sertã</t>
  </si>
  <si>
    <t>Vila de Rei</t>
  </si>
  <si>
    <t>Pampilhosa da Serra</t>
  </si>
  <si>
    <t>Figueira de Castelo Rodrigo</t>
  </si>
  <si>
    <t>Meda</t>
  </si>
  <si>
    <t>Castanheira de Pêra</t>
  </si>
  <si>
    <t>Pedrógão Grande</t>
  </si>
  <si>
    <t>Penedono</t>
  </si>
  <si>
    <t>Outro</t>
  </si>
  <si>
    <t>Localização</t>
  </si>
  <si>
    <t>Municipio:</t>
  </si>
  <si>
    <t>Miranda do Douro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</si>
</sst>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(* #,##0.0000_);_(* \(#,##0.0000\);_(* &quot;-&quot;??_);_(@_)"/>
    <numFmt numFmtId="167" formatCode="_(* #,##0_);_(* \(#,##0\);_(* &quot;-&quot;??_);_(@_)"/>
    <numFmt numFmtId="168" formatCode="_-* #,##0.0\ _€_-;\-* #,##0.0\ _€_-;_-* &quot;-&quot;??\ _€_-;_-@_-"/>
    <numFmt numFmtId="169" formatCode="0.000000"/>
    <numFmt numFmtId="170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vertAlign val="superscript"/>
      <sz val="9"/>
      <color indexed="8"/>
      <name val="Calibri"/>
      <family val="2"/>
    </font>
    <font>
      <vertAlign val="superscript"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u/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4" fillId="0" borderId="0" applyNumberFormat="0" applyFill="0" applyBorder="0" applyAlignment="0" applyProtection="0"/>
  </cellStyleXfs>
  <cellXfs count="222">
    <xf numFmtId="0" fontId="0" fillId="0" borderId="0" xfId="0"/>
    <xf numFmtId="0" fontId="3" fillId="0" borderId="0" xfId="0" applyFont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left"/>
    </xf>
    <xf numFmtId="166" fontId="6" fillId="0" borderId="1" xfId="1" applyNumberFormat="1" applyFont="1" applyFill="1" applyBorder="1"/>
    <xf numFmtId="0" fontId="5" fillId="4" borderId="1" xfId="0" applyFont="1" applyFill="1" applyBorder="1" applyAlignment="1">
      <alignment horizontal="center"/>
    </xf>
    <xf numFmtId="166" fontId="5" fillId="4" borderId="1" xfId="1" applyNumberFormat="1" applyFont="1" applyFill="1" applyBorder="1" applyAlignment="1">
      <alignment horizontal="right" vertical="center"/>
    </xf>
    <xf numFmtId="166" fontId="5" fillId="4" borderId="1" xfId="1" applyNumberFormat="1" applyFont="1" applyFill="1" applyBorder="1" applyAlignment="1">
      <alignment horizontal="right"/>
    </xf>
    <xf numFmtId="166" fontId="5" fillId="0" borderId="1" xfId="1" applyNumberFormat="1" applyFont="1" applyFill="1" applyBorder="1"/>
    <xf numFmtId="166" fontId="6" fillId="4" borderId="1" xfId="1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0" fontId="5" fillId="4" borderId="0" xfId="0" applyFont="1" applyFill="1"/>
    <xf numFmtId="0" fontId="4" fillId="4" borderId="0" xfId="0" applyFont="1" applyFill="1"/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167" fontId="5" fillId="4" borderId="1" xfId="1" applyNumberFormat="1" applyFont="1" applyFill="1" applyBorder="1"/>
    <xf numFmtId="0" fontId="5" fillId="4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168" fontId="5" fillId="0" borderId="1" xfId="0" applyNumberFormat="1" applyFont="1" applyBorder="1" applyAlignment="1">
      <alignment vertical="center" wrapText="1"/>
    </xf>
    <xf numFmtId="165" fontId="5" fillId="0" borderId="1" xfId="0" applyNumberFormat="1" applyFont="1" applyBorder="1" applyAlignment="1">
      <alignment vertical="center" wrapText="1"/>
    </xf>
    <xf numFmtId="0" fontId="6" fillId="0" borderId="0" xfId="0" applyFont="1" applyFill="1"/>
    <xf numFmtId="0" fontId="6" fillId="0" borderId="0" xfId="0" applyFont="1"/>
    <xf numFmtId="165" fontId="6" fillId="0" borderId="0" xfId="0" applyNumberFormat="1" applyFont="1"/>
    <xf numFmtId="0" fontId="6" fillId="0" borderId="0" xfId="0" applyFont="1" applyAlignment="1">
      <alignment vertic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wrapText="1"/>
    </xf>
    <xf numFmtId="0" fontId="5" fillId="4" borderId="0" xfId="0" applyFont="1" applyFill="1" applyBorder="1" applyAlignment="1">
      <alignment vertical="center"/>
    </xf>
    <xf numFmtId="0" fontId="6" fillId="0" borderId="0" xfId="0" applyFont="1" applyBorder="1"/>
    <xf numFmtId="164" fontId="6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65" fontId="6" fillId="0" borderId="0" xfId="0" applyNumberFormat="1" applyFont="1" applyBorder="1"/>
    <xf numFmtId="4" fontId="6" fillId="0" borderId="0" xfId="0" applyNumberFormat="1" applyFont="1" applyBorder="1"/>
    <xf numFmtId="0" fontId="5" fillId="0" borderId="0" xfId="0" applyFont="1" applyAlignment="1">
      <alignment vertical="center"/>
    </xf>
    <xf numFmtId="0" fontId="4" fillId="5" borderId="1" xfId="0" applyFont="1" applyFill="1" applyBorder="1" applyAlignment="1">
      <alignment vertical="center" wrapText="1"/>
    </xf>
    <xf numFmtId="10" fontId="5" fillId="0" borderId="1" xfId="0" applyNumberFormat="1" applyFont="1" applyBorder="1" applyAlignment="1">
      <alignment vertical="center" wrapText="1"/>
    </xf>
    <xf numFmtId="0" fontId="5" fillId="7" borderId="26" xfId="0" applyFont="1" applyFill="1" applyBorder="1" applyAlignment="1" applyProtection="1">
      <alignment horizontal="center" vertical="center" wrapText="1"/>
      <protection locked="0"/>
    </xf>
    <xf numFmtId="164" fontId="5" fillId="7" borderId="6" xfId="1" applyNumberFormat="1" applyFont="1" applyFill="1" applyBorder="1" applyAlignment="1" applyProtection="1">
      <alignment horizontal="right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32" xfId="0" applyFont="1" applyBorder="1" applyAlignment="1">
      <alignment horizontal="left" vertical="center" wrapText="1" indent="1"/>
    </xf>
    <xf numFmtId="0" fontId="5" fillId="0" borderId="29" xfId="0" applyFont="1" applyBorder="1" applyAlignment="1">
      <alignment horizontal="left" vertical="center" wrapText="1" indent="1"/>
    </xf>
    <xf numFmtId="0" fontId="5" fillId="0" borderId="20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horizontal="left" vertical="center" wrapText="1" indent="1"/>
    </xf>
    <xf numFmtId="0" fontId="5" fillId="0" borderId="0" xfId="0" applyFont="1" applyAlignment="1">
      <alignment horizontal="center" vertical="center"/>
    </xf>
    <xf numFmtId="9" fontId="0" fillId="0" borderId="0" xfId="0" applyNumberFormat="1"/>
    <xf numFmtId="10" fontId="0" fillId="0" borderId="0" xfId="0" applyNumberFormat="1"/>
    <xf numFmtId="0" fontId="5" fillId="0" borderId="12" xfId="0" applyFont="1" applyBorder="1" applyAlignment="1">
      <alignment vertical="center"/>
    </xf>
    <xf numFmtId="0" fontId="5" fillId="4" borderId="28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4" fillId="6" borderId="0" xfId="0" applyFont="1" applyFill="1"/>
    <xf numFmtId="0" fontId="6" fillId="0" borderId="29" xfId="0" applyFont="1" applyFill="1" applyBorder="1" applyAlignment="1">
      <alignment horizontal="left" vertical="center" wrapText="1" indent="1"/>
    </xf>
    <xf numFmtId="0" fontId="4" fillId="0" borderId="3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 indent="1"/>
    </xf>
    <xf numFmtId="0" fontId="2" fillId="0" borderId="2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0" fontId="5" fillId="7" borderId="6" xfId="0" applyFont="1" applyFill="1" applyBorder="1" applyAlignment="1" applyProtection="1">
      <alignment horizontal="center" vertical="center" wrapText="1"/>
      <protection locked="0"/>
    </xf>
    <xf numFmtId="14" fontId="5" fillId="7" borderId="6" xfId="0" applyNumberFormat="1" applyFont="1" applyFill="1" applyBorder="1" applyAlignment="1" applyProtection="1">
      <alignment horizontal="center" vertical="center"/>
      <protection locked="0"/>
    </xf>
    <xf numFmtId="0" fontId="4" fillId="6" borderId="33" xfId="0" applyFont="1" applyFill="1" applyBorder="1" applyAlignment="1">
      <alignment horizontal="center" vertical="center" wrapText="1"/>
    </xf>
    <xf numFmtId="10" fontId="5" fillId="0" borderId="23" xfId="0" applyNumberFormat="1" applyFont="1" applyBorder="1" applyAlignment="1">
      <alignment vertical="center"/>
    </xf>
    <xf numFmtId="4" fontId="5" fillId="0" borderId="23" xfId="0" applyNumberFormat="1" applyFont="1" applyBorder="1"/>
    <xf numFmtId="0" fontId="5" fillId="0" borderId="2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 indent="1"/>
    </xf>
    <xf numFmtId="0" fontId="6" fillId="0" borderId="6" xfId="0" applyFont="1" applyFill="1" applyBorder="1" applyAlignment="1">
      <alignment horizontal="left" vertical="center" wrapText="1" indent="1"/>
    </xf>
    <xf numFmtId="0" fontId="4" fillId="0" borderId="27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vertical="center"/>
    </xf>
    <xf numFmtId="0" fontId="4" fillId="6" borderId="36" xfId="0" applyFont="1" applyFill="1" applyBorder="1" applyAlignment="1">
      <alignment vertical="center"/>
    </xf>
    <xf numFmtId="4" fontId="5" fillId="0" borderId="12" xfId="0" applyNumberFormat="1" applyFont="1" applyBorder="1" applyAlignment="1">
      <alignment vertical="center"/>
    </xf>
    <xf numFmtId="4" fontId="5" fillId="0" borderId="33" xfId="0" applyNumberFormat="1" applyFont="1" applyFill="1" applyBorder="1" applyAlignment="1">
      <alignment vertical="center"/>
    </xf>
    <xf numFmtId="4" fontId="5" fillId="0" borderId="21" xfId="0" applyNumberFormat="1" applyFont="1" applyBorder="1"/>
    <xf numFmtId="0" fontId="5" fillId="0" borderId="50" xfId="0" applyFont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/>
    <xf numFmtId="0" fontId="4" fillId="6" borderId="0" xfId="0" applyFont="1" applyFill="1" applyAlignment="1">
      <alignment vertical="center" wrapText="1"/>
    </xf>
    <xf numFmtId="0" fontId="4" fillId="0" borderId="8" xfId="0" applyFont="1" applyFill="1" applyBorder="1"/>
    <xf numFmtId="0" fontId="4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wrapText="1"/>
    </xf>
    <xf numFmtId="0" fontId="14" fillId="0" borderId="0" xfId="4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70" fontId="5" fillId="0" borderId="0" xfId="0" applyNumberFormat="1" applyFont="1"/>
    <xf numFmtId="0" fontId="6" fillId="7" borderId="0" xfId="0" applyFont="1" applyFill="1" applyProtection="1">
      <protection locked="0"/>
    </xf>
    <xf numFmtId="0" fontId="6" fillId="0" borderId="0" xfId="0" applyFont="1" applyProtection="1"/>
    <xf numFmtId="0" fontId="4" fillId="6" borderId="0" xfId="0" applyFont="1" applyFill="1" applyBorder="1" applyAlignment="1" applyProtection="1">
      <alignment horizontal="left" vertical="center"/>
    </xf>
    <xf numFmtId="0" fontId="5" fillId="6" borderId="0" xfId="0" applyFont="1" applyFill="1" applyBorder="1" applyAlignment="1" applyProtection="1">
      <alignment horizontal="center" vertical="center" wrapText="1"/>
    </xf>
    <xf numFmtId="14" fontId="5" fillId="6" borderId="0" xfId="0" applyNumberFormat="1" applyFont="1" applyFill="1" applyBorder="1" applyAlignment="1" applyProtection="1">
      <alignment horizontal="center" vertical="center"/>
    </xf>
    <xf numFmtId="164" fontId="5" fillId="6" borderId="0" xfId="1" applyNumberFormat="1" applyFont="1" applyFill="1" applyBorder="1" applyAlignment="1" applyProtection="1">
      <alignment horizontal="right" vertical="center"/>
    </xf>
    <xf numFmtId="164" fontId="6" fillId="6" borderId="0" xfId="1" applyNumberFormat="1" applyFont="1" applyFill="1" applyBorder="1" applyAlignment="1" applyProtection="1">
      <alignment vertical="center"/>
    </xf>
    <xf numFmtId="164" fontId="6" fillId="6" borderId="0" xfId="0" applyNumberFormat="1" applyFont="1" applyFill="1" applyBorder="1" applyProtection="1"/>
    <xf numFmtId="0" fontId="6" fillId="6" borderId="0" xfId="0" applyFont="1" applyFill="1" applyBorder="1" applyProtection="1"/>
    <xf numFmtId="0" fontId="6" fillId="6" borderId="0" xfId="0" applyFont="1" applyFill="1" applyProtection="1"/>
    <xf numFmtId="0" fontId="2" fillId="0" borderId="0" xfId="0" applyFont="1" applyAlignment="1" applyProtection="1">
      <alignment vertical="center"/>
    </xf>
    <xf numFmtId="164" fontId="2" fillId="0" borderId="0" xfId="0" applyNumberFormat="1" applyFont="1" applyFill="1" applyBorder="1" applyProtection="1"/>
    <xf numFmtId="0" fontId="6" fillId="0" borderId="0" xfId="0" applyFont="1" applyBorder="1" applyProtection="1"/>
    <xf numFmtId="164" fontId="2" fillId="0" borderId="0" xfId="0" applyNumberFormat="1" applyFont="1" applyFill="1" applyProtection="1"/>
    <xf numFmtId="0" fontId="6" fillId="0" borderId="0" xfId="0" applyFont="1" applyFill="1" applyProtection="1"/>
    <xf numFmtId="165" fontId="6" fillId="0" borderId="0" xfId="0" applyNumberFormat="1" applyFont="1" applyProtection="1"/>
    <xf numFmtId="164" fontId="6" fillId="0" borderId="0" xfId="0" applyNumberFormat="1" applyFont="1" applyFill="1" applyProtection="1"/>
    <xf numFmtId="14" fontId="4" fillId="2" borderId="29" xfId="0" applyNumberFormat="1" applyFont="1" applyFill="1" applyBorder="1" applyAlignment="1" applyProtection="1">
      <alignment horizontal="center" vertical="center" wrapText="1"/>
    </xf>
    <xf numFmtId="0" fontId="4" fillId="2" borderId="29" xfId="0" applyFont="1" applyFill="1" applyBorder="1" applyAlignment="1" applyProtection="1">
      <alignment horizontal="center" vertical="center" wrapText="1"/>
    </xf>
    <xf numFmtId="0" fontId="4" fillId="2" borderId="31" xfId="0" applyFont="1" applyFill="1" applyBorder="1" applyAlignment="1" applyProtection="1">
      <alignment horizontal="center" vertical="center" wrapText="1"/>
    </xf>
    <xf numFmtId="0" fontId="4" fillId="2" borderId="33" xfId="0" applyFont="1" applyFill="1" applyBorder="1" applyAlignment="1" applyProtection="1">
      <alignment horizontal="center" vertical="center" wrapText="1"/>
    </xf>
    <xf numFmtId="14" fontId="4" fillId="2" borderId="35" xfId="0" applyNumberFormat="1" applyFont="1" applyFill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 wrapText="1"/>
    </xf>
    <xf numFmtId="0" fontId="2" fillId="2" borderId="35" xfId="0" applyFont="1" applyFill="1" applyBorder="1" applyAlignment="1" applyProtection="1">
      <alignment horizontal="center" vertical="center" wrapText="1"/>
    </xf>
    <xf numFmtId="0" fontId="4" fillId="2" borderId="46" xfId="0" applyFont="1" applyFill="1" applyBorder="1" applyAlignment="1" applyProtection="1">
      <alignment horizontal="center" vertical="center"/>
    </xf>
    <xf numFmtId="0" fontId="4" fillId="2" borderId="36" xfId="0" applyFont="1" applyFill="1" applyBorder="1" applyAlignment="1" applyProtection="1">
      <alignment horizontal="center" vertical="center"/>
    </xf>
    <xf numFmtId="164" fontId="6" fillId="3" borderId="1" xfId="1" applyNumberFormat="1" applyFont="1" applyFill="1" applyBorder="1" applyAlignment="1" applyProtection="1">
      <alignment vertical="center"/>
    </xf>
    <xf numFmtId="164" fontId="6" fillId="0" borderId="6" xfId="0" applyNumberFormat="1" applyFont="1" applyFill="1" applyBorder="1" applyAlignment="1" applyProtection="1">
      <alignment horizontal="center"/>
    </xf>
    <xf numFmtId="164" fontId="5" fillId="3" borderId="3" xfId="1" applyNumberFormat="1" applyFont="1" applyFill="1" applyBorder="1" applyAlignment="1" applyProtection="1">
      <alignment horizontal="right" vertical="center"/>
    </xf>
    <xf numFmtId="0" fontId="6" fillId="0" borderId="26" xfId="0" applyFont="1" applyBorder="1" applyAlignment="1" applyProtection="1">
      <alignment vertical="center"/>
    </xf>
    <xf numFmtId="164" fontId="6" fillId="3" borderId="6" xfId="1" applyNumberFormat="1" applyFont="1" applyFill="1" applyBorder="1" applyAlignment="1" applyProtection="1">
      <alignment vertical="center"/>
    </xf>
    <xf numFmtId="169" fontId="6" fillId="0" borderId="6" xfId="0" applyNumberFormat="1" applyFont="1" applyFill="1" applyBorder="1" applyAlignment="1" applyProtection="1">
      <alignment vertical="center"/>
    </xf>
    <xf numFmtId="164" fontId="5" fillId="3" borderId="27" xfId="1" applyNumberFormat="1" applyFont="1" applyFill="1" applyBorder="1" applyAlignment="1" applyProtection="1">
      <alignment horizontal="right" vertical="center"/>
    </xf>
    <xf numFmtId="0" fontId="6" fillId="0" borderId="20" xfId="0" applyFont="1" applyBorder="1" applyAlignment="1" applyProtection="1">
      <alignment vertical="center"/>
    </xf>
    <xf numFmtId="169" fontId="6" fillId="0" borderId="1" xfId="0" applyNumberFormat="1" applyFont="1" applyFill="1" applyBorder="1" applyAlignment="1" applyProtection="1">
      <alignment vertical="center"/>
    </xf>
    <xf numFmtId="164" fontId="5" fillId="3" borderId="21" xfId="1" applyNumberFormat="1" applyFont="1" applyFill="1" applyBorder="1" applyAlignment="1" applyProtection="1">
      <alignment horizontal="right" vertical="center"/>
    </xf>
    <xf numFmtId="164" fontId="2" fillId="2" borderId="22" xfId="0" applyNumberFormat="1" applyFont="1" applyFill="1" applyBorder="1" applyProtection="1"/>
    <xf numFmtId="164" fontId="2" fillId="2" borderId="9" xfId="0" applyNumberFormat="1" applyFont="1" applyFill="1" applyBorder="1" applyProtection="1"/>
    <xf numFmtId="0" fontId="6" fillId="8" borderId="22" xfId="0" applyFont="1" applyFill="1" applyBorder="1" applyProtection="1"/>
    <xf numFmtId="0" fontId="6" fillId="8" borderId="9" xfId="0" applyFont="1" applyFill="1" applyBorder="1" applyProtection="1"/>
    <xf numFmtId="169" fontId="2" fillId="8" borderId="9" xfId="0" applyNumberFormat="1" applyFont="1" applyFill="1" applyBorder="1" applyProtection="1"/>
    <xf numFmtId="164" fontId="2" fillId="8" borderId="23" xfId="0" applyNumberFormat="1" applyFont="1" applyFill="1" applyBorder="1" applyProtection="1"/>
    <xf numFmtId="0" fontId="13" fillId="0" borderId="0" xfId="0" applyFont="1" applyProtection="1"/>
    <xf numFmtId="0" fontId="2" fillId="6" borderId="0" xfId="0" applyFont="1" applyFill="1" applyProtection="1"/>
    <xf numFmtId="164" fontId="2" fillId="6" borderId="0" xfId="0" applyNumberFormat="1" applyFont="1" applyFill="1" applyProtection="1"/>
    <xf numFmtId="164" fontId="6" fillId="6" borderId="0" xfId="0" applyNumberFormat="1" applyFont="1" applyFill="1" applyProtection="1"/>
    <xf numFmtId="0" fontId="12" fillId="10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right" vertical="center" wrapText="1"/>
    </xf>
    <xf numFmtId="0" fontId="2" fillId="0" borderId="0" xfId="0" applyFont="1" applyFill="1" applyProtection="1"/>
    <xf numFmtId="0" fontId="6" fillId="0" borderId="0" xfId="0" applyFont="1" applyFill="1" applyAlignment="1" applyProtection="1">
      <alignment wrapText="1"/>
    </xf>
    <xf numFmtId="0" fontId="6" fillId="0" borderId="0" xfId="0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center" wrapText="1"/>
    </xf>
    <xf numFmtId="164" fontId="6" fillId="9" borderId="6" xfId="0" applyNumberFormat="1" applyFont="1" applyFill="1" applyBorder="1" applyAlignment="1" applyProtection="1">
      <alignment vertical="center"/>
      <protection locked="0"/>
    </xf>
    <xf numFmtId="164" fontId="6" fillId="9" borderId="1" xfId="0" applyNumberFormat="1" applyFont="1" applyFill="1" applyBorder="1" applyAlignment="1" applyProtection="1">
      <alignment vertical="center"/>
      <protection locked="0"/>
    </xf>
    <xf numFmtId="4" fontId="6" fillId="7" borderId="0" xfId="0" applyNumberFormat="1" applyFont="1" applyFill="1" applyAlignment="1" applyProtection="1">
      <alignment vertical="center"/>
      <protection locked="0"/>
    </xf>
    <xf numFmtId="0" fontId="6" fillId="7" borderId="1" xfId="0" applyFont="1" applyFill="1" applyBorder="1" applyProtection="1">
      <protection locked="0"/>
    </xf>
    <xf numFmtId="0" fontId="6" fillId="0" borderId="3" xfId="0" applyFont="1" applyBorder="1" applyAlignment="1" applyProtection="1"/>
    <xf numFmtId="0" fontId="0" fillId="0" borderId="4" xfId="0" applyBorder="1" applyAlignment="1" applyProtection="1"/>
    <xf numFmtId="0" fontId="0" fillId="0" borderId="5" xfId="0" applyBorder="1" applyAlignment="1" applyProtection="1"/>
    <xf numFmtId="0" fontId="2" fillId="0" borderId="0" xfId="0" applyFont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 wrapText="1"/>
    </xf>
    <xf numFmtId="0" fontId="6" fillId="7" borderId="1" xfId="0" applyFont="1" applyFill="1" applyBorder="1" applyAlignment="1" applyProtection="1">
      <protection locked="0"/>
    </xf>
    <xf numFmtId="0" fontId="0" fillId="7" borderId="1" xfId="0" applyFill="1" applyBorder="1" applyAlignment="1" applyProtection="1">
      <protection locked="0"/>
    </xf>
    <xf numFmtId="0" fontId="12" fillId="10" borderId="46" xfId="0" applyFont="1" applyFill="1" applyBorder="1" applyAlignment="1" applyProtection="1">
      <alignment horizontal="center" vertical="center"/>
    </xf>
    <xf numFmtId="0" fontId="0" fillId="0" borderId="47" xfId="0" applyBorder="1" applyAlignment="1" applyProtection="1">
      <alignment horizontal="center" vertical="center"/>
    </xf>
    <xf numFmtId="0" fontId="4" fillId="2" borderId="28" xfId="0" applyFont="1" applyFill="1" applyBorder="1" applyAlignment="1" applyProtection="1">
      <alignment horizontal="center" vertical="center" wrapText="1"/>
    </xf>
    <xf numFmtId="0" fontId="4" fillId="2" borderId="34" xfId="0" applyFont="1" applyFill="1" applyBorder="1" applyAlignment="1" applyProtection="1">
      <alignment horizontal="center" vertical="center" wrapText="1"/>
    </xf>
    <xf numFmtId="0" fontId="4" fillId="2" borderId="31" xfId="0" applyFont="1" applyFill="1" applyBorder="1" applyAlignment="1" applyProtection="1">
      <alignment horizontal="center" vertical="center" wrapText="1"/>
    </xf>
    <xf numFmtId="0" fontId="5" fillId="0" borderId="32" xfId="0" applyFont="1" applyBorder="1" applyAlignment="1" applyProtection="1">
      <alignment horizontal="center" vertical="center" wrapText="1"/>
    </xf>
    <xf numFmtId="0" fontId="4" fillId="2" borderId="29" xfId="0" applyFont="1" applyFill="1" applyBorder="1" applyAlignment="1" applyProtection="1">
      <alignment horizontal="center" vertical="center" wrapText="1"/>
    </xf>
    <xf numFmtId="0" fontId="4" fillId="2" borderId="35" xfId="0" applyFont="1" applyFill="1" applyBorder="1" applyAlignment="1" applyProtection="1">
      <alignment horizontal="center" vertical="center" wrapText="1"/>
    </xf>
    <xf numFmtId="0" fontId="0" fillId="0" borderId="48" xfId="0" applyBorder="1" applyAlignment="1" applyProtection="1">
      <alignment horizontal="center" vertical="center"/>
    </xf>
    <xf numFmtId="0" fontId="4" fillId="2" borderId="30" xfId="0" applyFont="1" applyFill="1" applyBorder="1" applyAlignment="1" applyProtection="1">
      <alignment horizontal="center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1" fillId="0" borderId="42" xfId="0" applyFont="1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0" borderId="37" xfId="0" applyFont="1" applyBorder="1" applyAlignment="1">
      <alignment horizontal="left" vertical="center" wrapText="1"/>
    </xf>
    <xf numFmtId="0" fontId="0" fillId="0" borderId="14" xfId="0" applyBorder="1" applyAlignment="1"/>
    <xf numFmtId="0" fontId="0" fillId="0" borderId="13" xfId="0" applyBorder="1" applyAlignment="1"/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/>
    <xf numFmtId="0" fontId="4" fillId="6" borderId="0" xfId="0" applyFont="1" applyFill="1" applyAlignment="1"/>
    <xf numFmtId="0" fontId="0" fillId="0" borderId="0" xfId="0" applyAlignment="1"/>
    <xf numFmtId="0" fontId="4" fillId="6" borderId="28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vertical="center"/>
    </xf>
    <xf numFmtId="0" fontId="9" fillId="6" borderId="43" xfId="0" applyFont="1" applyFill="1" applyBorder="1" applyAlignment="1">
      <alignment vertical="center"/>
    </xf>
    <xf numFmtId="0" fontId="9" fillId="6" borderId="49" xfId="0" applyFont="1" applyFill="1" applyBorder="1" applyAlignment="1">
      <alignment vertical="center"/>
    </xf>
    <xf numFmtId="0" fontId="11" fillId="0" borderId="25" xfId="0" applyFont="1" applyBorder="1" applyAlignment="1">
      <alignment horizontal="center" vertical="center" textRotation="90" wrapText="1"/>
    </xf>
    <xf numFmtId="0" fontId="6" fillId="0" borderId="45" xfId="0" applyFont="1" applyFill="1" applyBorder="1" applyAlignment="1">
      <alignment horizontal="left" vertical="center" wrapText="1"/>
    </xf>
    <xf numFmtId="0" fontId="0" fillId="0" borderId="17" xfId="0" applyFill="1" applyBorder="1" applyAlignment="1"/>
    <xf numFmtId="0" fontId="0" fillId="0" borderId="16" xfId="0" applyFill="1" applyBorder="1" applyAlignment="1"/>
    <xf numFmtId="0" fontId="2" fillId="0" borderId="44" xfId="0" applyFont="1" applyFill="1" applyBorder="1" applyAlignment="1">
      <alignment horizontal="center" vertical="center" wrapText="1"/>
    </xf>
    <xf numFmtId="0" fontId="0" fillId="0" borderId="10" xfId="0" applyFill="1" applyBorder="1" applyAlignment="1"/>
    <xf numFmtId="0" fontId="0" fillId="0" borderId="23" xfId="0" applyFill="1" applyBorder="1" applyAlignment="1"/>
    <xf numFmtId="0" fontId="5" fillId="0" borderId="42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5" xfId="0" applyBorder="1" applyAlignment="1">
      <alignment vertical="center"/>
    </xf>
    <xf numFmtId="0" fontId="5" fillId="0" borderId="51" xfId="0" applyFont="1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4" fillId="0" borderId="52" xfId="0" applyFont="1" applyBorder="1" applyAlignment="1">
      <alignment horizontal="left" vertical="center" wrapText="1"/>
    </xf>
    <xf numFmtId="0" fontId="9" fillId="0" borderId="5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2" fillId="4" borderId="0" xfId="0" applyFont="1" applyFill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40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41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</cellXfs>
  <cellStyles count="5">
    <cellStyle name="Hiperligação" xfId="4" builtinId="8"/>
    <cellStyle name="Normal" xfId="0" builtinId="0"/>
    <cellStyle name="Normal 2 2 8 2" xfId="2" xr:uid="{22881632-B1A8-46EF-ABD1-9827B253F172}"/>
    <cellStyle name="Normal 4 8 2" xfId="3" xr:uid="{337E024F-6939-41F4-8C5B-BCC12B2301E3}"/>
    <cellStyle name="Vírgula" xfId="1" builtin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113</xdr:row>
      <xdr:rowOff>0</xdr:rowOff>
    </xdr:from>
    <xdr:to>
      <xdr:col>36</xdr:col>
      <xdr:colOff>143764</xdr:colOff>
      <xdr:row>180</xdr:row>
      <xdr:rowOff>74914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1DF308E-126E-4193-B2DF-086E3640B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1300" y="10668000"/>
          <a:ext cx="18285714" cy="102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O6\04%20Avisos\POSEUR-07-2016-71%20Autocarros%20Limpos\04%20Opera&#231;&#245;es\01-1407-000017%20-%20TUBraga\10%20Encerramento\DGEG_an&#225;lise%20de%20candidatura_TU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Ajuda"/>
      <sheetName val="1. Identificação"/>
      <sheetName val="1A. Cenário12M_Ajuste Distância"/>
      <sheetName val="2.Indicadores"/>
      <sheetName val="3. Avaliação"/>
      <sheetName val="Listas"/>
      <sheetName val="Conversores"/>
      <sheetName val="Fatores de Convers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D3" t="str">
            <v>Gás Natural Comprimido</v>
          </cell>
          <cell r="E3" t="str">
            <v>Gasóleo</v>
          </cell>
        </row>
        <row r="4">
          <cell r="D4" t="str">
            <v>Gás Natural Liquefeito</v>
          </cell>
          <cell r="E4" t="str">
            <v>Gasolina</v>
          </cell>
        </row>
        <row r="5">
          <cell r="D5" t="str">
            <v>Elétrico</v>
          </cell>
          <cell r="E5" t="str">
            <v>Gás Auto/GPL</v>
          </cell>
        </row>
        <row r="6">
          <cell r="D6" t="str">
            <v>Híbrido plug-in</v>
          </cell>
          <cell r="E6" t="str">
            <v>Gás Natural Comprimido</v>
          </cell>
        </row>
        <row r="7">
          <cell r="D7" t="str">
            <v>Hidrogénio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javascript:__doPostBack('lc$dataGridEntities$_ctl2$_ctl8','')" TargetMode="External"/><Relationship Id="rId2" Type="http://schemas.openxmlformats.org/officeDocument/2006/relationships/hyperlink" Target="javascript:__doPostBack('lc$dataGridEntities$_ctl2$_ctl7','')" TargetMode="External"/><Relationship Id="rId1" Type="http://schemas.openxmlformats.org/officeDocument/2006/relationships/hyperlink" Target="javascript:__doPostBack('lc$dataGridEntities$_ctl2$_ctl6','')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javascript:__doPostBack('lc$dataGridEntities$_ctl2$_ctl10','')" TargetMode="External"/><Relationship Id="rId4" Type="http://schemas.openxmlformats.org/officeDocument/2006/relationships/hyperlink" Target="javascript:__doPostBack('lc$dataGridEntities$_ctl2$_ctl9','')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47DB6-7B84-4271-A111-5E933CDBFBF6}">
  <dimension ref="A1:O126"/>
  <sheetViews>
    <sheetView tabSelected="1" zoomScale="85" zoomScaleNormal="85" workbookViewId="0">
      <selection activeCell="L11" sqref="L11"/>
    </sheetView>
  </sheetViews>
  <sheetFormatPr defaultColWidth="8.77734375" defaultRowHeight="12" outlineLevelRow="2" x14ac:dyDescent="0.25"/>
  <cols>
    <col min="1" max="1" width="17.21875" style="24" customWidth="1"/>
    <col min="2" max="2" width="15.77734375" style="24" customWidth="1"/>
    <col min="3" max="4" width="13.5546875" style="24" customWidth="1"/>
    <col min="5" max="5" width="12.5546875" style="24" customWidth="1"/>
    <col min="6" max="6" width="17.44140625" style="24" customWidth="1"/>
    <col min="7" max="7" width="13.109375" style="24" customWidth="1"/>
    <col min="8" max="8" width="11.88671875" style="24" customWidth="1"/>
    <col min="9" max="9" width="10.77734375" style="24" customWidth="1"/>
    <col min="10" max="10" width="22.5546875" style="24" customWidth="1"/>
    <col min="11" max="11" width="17" style="24" customWidth="1"/>
    <col min="12" max="12" width="11.6640625" style="24" customWidth="1"/>
    <col min="13" max="13" width="12.21875" style="24" customWidth="1"/>
    <col min="14" max="14" width="11.77734375" style="24" customWidth="1"/>
    <col min="15" max="16" width="12.21875" style="24" customWidth="1"/>
    <col min="17" max="18" width="8.77734375" style="24"/>
    <col min="19" max="19" width="16.88671875" style="24" customWidth="1"/>
    <col min="20" max="16384" width="8.77734375" style="24"/>
  </cols>
  <sheetData>
    <row r="1" spans="1:15" x14ac:dyDescent="0.25">
      <c r="A1" s="94" t="s">
        <v>116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</row>
    <row r="2" spans="1:15" x14ac:dyDescent="0.25">
      <c r="A2" s="95" t="s">
        <v>141</v>
      </c>
      <c r="B2" s="96"/>
      <c r="C2" s="96"/>
      <c r="D2" s="96"/>
      <c r="E2" s="97"/>
      <c r="F2" s="98"/>
      <c r="G2" s="98"/>
      <c r="H2" s="99"/>
      <c r="I2" s="100"/>
      <c r="J2" s="98"/>
      <c r="K2" s="101"/>
      <c r="L2" s="102"/>
      <c r="M2" s="102"/>
      <c r="N2" s="102"/>
      <c r="O2" s="102"/>
    </row>
    <row r="3" spans="1:15" ht="23.55" customHeight="1" x14ac:dyDescent="0.25">
      <c r="A3" s="103" t="s">
        <v>142</v>
      </c>
      <c r="B3" s="93" t="s">
        <v>140</v>
      </c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</row>
    <row r="4" spans="1:15" x14ac:dyDescent="0.25">
      <c r="A4" s="94"/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</row>
    <row r="5" spans="1:15" x14ac:dyDescent="0.25">
      <c r="A5" s="95" t="s">
        <v>100</v>
      </c>
      <c r="B5" s="96"/>
      <c r="C5" s="96"/>
      <c r="D5" s="96"/>
      <c r="E5" s="97"/>
      <c r="F5" s="98"/>
      <c r="G5" s="98"/>
      <c r="H5" s="99"/>
      <c r="I5" s="100"/>
      <c r="J5" s="98"/>
      <c r="K5" s="101"/>
      <c r="L5" s="102"/>
      <c r="M5" s="102"/>
      <c r="N5" s="102"/>
      <c r="O5" s="102"/>
    </row>
    <row r="6" spans="1:15" x14ac:dyDescent="0.25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5"/>
      <c r="L6" s="94"/>
      <c r="M6" s="94" t="s">
        <v>41</v>
      </c>
      <c r="N6" s="94"/>
      <c r="O6" s="94"/>
    </row>
    <row r="7" spans="1:15" x14ac:dyDescent="0.25">
      <c r="A7" s="94"/>
      <c r="B7" s="94"/>
      <c r="C7" s="94"/>
      <c r="D7" s="94" t="s">
        <v>41</v>
      </c>
      <c r="E7" s="94"/>
      <c r="F7" s="106"/>
      <c r="G7" s="107"/>
      <c r="H7" s="107"/>
      <c r="I7" s="108"/>
      <c r="J7" s="109"/>
      <c r="K7" s="105"/>
      <c r="L7" s="94"/>
      <c r="M7" s="94"/>
      <c r="N7" s="94"/>
      <c r="O7" s="94"/>
    </row>
    <row r="8" spans="1:15" ht="15" thickBot="1" x14ac:dyDescent="0.3">
      <c r="A8" s="156" t="s">
        <v>21</v>
      </c>
      <c r="B8" s="157"/>
      <c r="C8" s="157"/>
      <c r="D8" s="157"/>
      <c r="E8" s="157"/>
      <c r="F8" s="157"/>
      <c r="G8" s="157"/>
      <c r="H8" s="157"/>
      <c r="I8" s="157"/>
      <c r="J8" s="164"/>
      <c r="K8" s="156" t="s">
        <v>99</v>
      </c>
      <c r="L8" s="157"/>
      <c r="M8" s="157"/>
      <c r="N8" s="157"/>
      <c r="O8" s="157"/>
    </row>
    <row r="9" spans="1:15" s="26" customFormat="1" ht="48" customHeight="1" x14ac:dyDescent="0.3">
      <c r="A9" s="158" t="s">
        <v>13</v>
      </c>
      <c r="B9" s="162" t="s">
        <v>49</v>
      </c>
      <c r="C9" s="165" t="s">
        <v>50</v>
      </c>
      <c r="D9" s="165" t="s">
        <v>58</v>
      </c>
      <c r="E9" s="162" t="s">
        <v>61</v>
      </c>
      <c r="F9" s="110" t="s">
        <v>44</v>
      </c>
      <c r="G9" s="160" t="s">
        <v>43</v>
      </c>
      <c r="H9" s="161"/>
      <c r="I9" s="111" t="s">
        <v>62</v>
      </c>
      <c r="J9" s="112" t="s">
        <v>107</v>
      </c>
      <c r="K9" s="158" t="s">
        <v>61</v>
      </c>
      <c r="L9" s="160" t="s">
        <v>43</v>
      </c>
      <c r="M9" s="161"/>
      <c r="N9" s="111" t="s">
        <v>62</v>
      </c>
      <c r="O9" s="113" t="s">
        <v>106</v>
      </c>
    </row>
    <row r="10" spans="1:15" s="26" customFormat="1" ht="12" customHeight="1" thickBot="1" x14ac:dyDescent="0.35">
      <c r="A10" s="159"/>
      <c r="B10" s="163"/>
      <c r="C10" s="166"/>
      <c r="D10" s="166"/>
      <c r="E10" s="163"/>
      <c r="F10" s="114" t="s">
        <v>14</v>
      </c>
      <c r="G10" s="115" t="s">
        <v>15</v>
      </c>
      <c r="H10" s="116" t="s">
        <v>16</v>
      </c>
      <c r="I10" s="115" t="s">
        <v>17</v>
      </c>
      <c r="J10" s="117" t="s">
        <v>18</v>
      </c>
      <c r="K10" s="159"/>
      <c r="L10" s="115" t="s">
        <v>15</v>
      </c>
      <c r="M10" s="116" t="s">
        <v>16</v>
      </c>
      <c r="N10" s="115" t="s">
        <v>17</v>
      </c>
      <c r="O10" s="118" t="s">
        <v>18</v>
      </c>
    </row>
    <row r="11" spans="1:15" s="26" customFormat="1" x14ac:dyDescent="0.25">
      <c r="A11" s="38"/>
      <c r="B11" s="61"/>
      <c r="C11" s="61"/>
      <c r="D11" s="61"/>
      <c r="E11" s="62"/>
      <c r="F11" s="39">
        <v>1000</v>
      </c>
      <c r="G11" s="39"/>
      <c r="H11" s="119" t="str">
        <f>IFERROR(VLOOKUP(E11,'4.Fatores Conversão'!$I$1:$J$4,2,0),"")</f>
        <v/>
      </c>
      <c r="I11" s="120" t="str" cm="1">
        <f t="array" ref="I11">IFERROR(_xlfn.IFS(E11="Eletricidade",ROUND((G11/100)*F11*VLOOKUP(E11,'4.Fatores Conversão'!$A$3:$B$9,2,0)/1000000,2),E11="Hidrogénio",ROUND((G11/100)*F11*VLOOKUP(E11,'4.Fatores Conversão'!$A$3:$B$9,2,0),2)),"")</f>
        <v/>
      </c>
      <c r="J11" s="121" t="str">
        <f>IFERROR(I11*VLOOKUP(E11,'4.Fatores Conversão'!$A$15:$B$21,2,0),"")</f>
        <v/>
      </c>
      <c r="K11" s="122" t="str">
        <f>IF(A11&gt;0,'4.Fatores Conversão'!$A$3,"")</f>
        <v/>
      </c>
      <c r="L11" s="145"/>
      <c r="M11" s="123" t="s">
        <v>20</v>
      </c>
      <c r="N11" s="124">
        <f>IFERROR(F11*(L11/100)*'4.Fatores Conversão'!$B$3,"")</f>
        <v>0</v>
      </c>
      <c r="O11" s="125">
        <f>IFERROR(N11*'4.Fatores Conversão'!$B$15,"")</f>
        <v>0</v>
      </c>
    </row>
    <row r="12" spans="1:15" s="26" customFormat="1" x14ac:dyDescent="0.25">
      <c r="A12" s="38"/>
      <c r="B12" s="61"/>
      <c r="C12" s="61"/>
      <c r="D12" s="61"/>
      <c r="E12" s="62"/>
      <c r="F12" s="39"/>
      <c r="G12" s="39"/>
      <c r="H12" s="119" t="str">
        <f>IFERROR(VLOOKUP(E12,'4.Fatores Conversão'!$I$1:$J$4,2,0),"")</f>
        <v/>
      </c>
      <c r="I12" s="120" t="str" cm="1">
        <f t="array" ref="I12">IFERROR(_xlfn.IFS(E12="Eletricidade",ROUND((G12/100)*F12*VLOOKUP(E12,'4.Fatores Conversão'!$A$3:$B$9,2,0)/1000000,2),E12="Hidrogénio",ROUND((G12/100)*F12*VLOOKUP(E12,'4.Fatores Conversão'!$A$3:$B$9,2,0),2)),"")</f>
        <v/>
      </c>
      <c r="J12" s="121" t="str">
        <f>IFERROR(I12*VLOOKUP(E12,'4.Fatores Conversão'!$A$15:$B$21,2,0),"")</f>
        <v/>
      </c>
      <c r="K12" s="126" t="str">
        <f>IF(A12&gt;0,'4.Fatores Conversão'!$A$3,"")</f>
        <v/>
      </c>
      <c r="L12" s="146"/>
      <c r="M12" s="119" t="s">
        <v>20</v>
      </c>
      <c r="N12" s="127">
        <f>IFERROR(F12*(L12/100)*'4.Fatores Conversão'!$B$3,"")</f>
        <v>0</v>
      </c>
      <c r="O12" s="128">
        <f>IFERROR(N12*'4.Fatores Conversão'!$B$15,"")</f>
        <v>0</v>
      </c>
    </row>
    <row r="13" spans="1:15" s="26" customFormat="1" x14ac:dyDescent="0.25">
      <c r="A13" s="38"/>
      <c r="B13" s="61"/>
      <c r="C13" s="61"/>
      <c r="D13" s="61"/>
      <c r="E13" s="62"/>
      <c r="F13" s="39"/>
      <c r="G13" s="39"/>
      <c r="H13" s="119" t="str">
        <f>IFERROR(VLOOKUP(E13,'4.Fatores Conversão'!$I$1:$J$4,2,0),"")</f>
        <v/>
      </c>
      <c r="I13" s="120" t="str" cm="1">
        <f t="array" ref="I13">IFERROR(_xlfn.IFS(E13="Eletricidade",ROUND((G13/100)*F13*VLOOKUP(E13,'4.Fatores Conversão'!$A$3:$B$9,2,0)/1000000,2),E13="Hidrogénio",ROUND((G13/100)*F13*VLOOKUP(E13,'4.Fatores Conversão'!$A$3:$B$9,2,0),2)),"")</f>
        <v/>
      </c>
      <c r="J13" s="121" t="str">
        <f>IFERROR(I13*VLOOKUP(E13,'4.Fatores Conversão'!$A$15:$B$21,2,0),"")</f>
        <v/>
      </c>
      <c r="K13" s="126" t="str">
        <f>IF(A13&gt;0,'4.Fatores Conversão'!$A$3,"")</f>
        <v/>
      </c>
      <c r="L13" s="146"/>
      <c r="M13" s="119" t="s">
        <v>20</v>
      </c>
      <c r="N13" s="127">
        <f>IFERROR(F13*(L13/100)*'4.Fatores Conversão'!$B$3,"")</f>
        <v>0</v>
      </c>
      <c r="O13" s="128">
        <f>IFERROR(N13*'4.Fatores Conversão'!$B$15,"")</f>
        <v>0</v>
      </c>
    </row>
    <row r="14" spans="1:15" s="26" customFormat="1" x14ac:dyDescent="0.25">
      <c r="A14" s="38"/>
      <c r="B14" s="61"/>
      <c r="C14" s="61"/>
      <c r="D14" s="61"/>
      <c r="E14" s="62"/>
      <c r="F14" s="39"/>
      <c r="G14" s="39"/>
      <c r="H14" s="119" t="str">
        <f>IFERROR(VLOOKUP(E14,'4.Fatores Conversão'!$I$1:$J$4,2,0),"")</f>
        <v/>
      </c>
      <c r="I14" s="120" t="str" cm="1">
        <f t="array" ref="I14">IFERROR(_xlfn.IFS(E14="Eletricidade",ROUND((G14/100)*F14*VLOOKUP(E14,'4.Fatores Conversão'!$A$3:$B$9,2,0)/1000000,2),E14="Hidrogénio",ROUND((G14/100)*F14*VLOOKUP(E14,'4.Fatores Conversão'!$A$3:$B$9,2,0),2)),"")</f>
        <v/>
      </c>
      <c r="J14" s="121" t="str">
        <f>IFERROR(I14*VLOOKUP(E14,'4.Fatores Conversão'!$A$15:$B$21,2,0),"")</f>
        <v/>
      </c>
      <c r="K14" s="126" t="str">
        <f>IF(A14&gt;0,'4.Fatores Conversão'!$A$3,"")</f>
        <v/>
      </c>
      <c r="L14" s="146"/>
      <c r="M14" s="119" t="s">
        <v>20</v>
      </c>
      <c r="N14" s="127">
        <f>IFERROR(F14*(L14/100)*'4.Fatores Conversão'!$B$3,"")</f>
        <v>0</v>
      </c>
      <c r="O14" s="128">
        <f>IFERROR(N14*'4.Fatores Conversão'!$B$15,"")</f>
        <v>0</v>
      </c>
    </row>
    <row r="15" spans="1:15" s="26" customFormat="1" x14ac:dyDescent="0.25">
      <c r="A15" s="38"/>
      <c r="B15" s="61"/>
      <c r="C15" s="61"/>
      <c r="D15" s="61"/>
      <c r="E15" s="62"/>
      <c r="F15" s="39"/>
      <c r="G15" s="39"/>
      <c r="H15" s="119" t="str">
        <f>IFERROR(VLOOKUP(E15,'4.Fatores Conversão'!$I$1:$J$4,2,0),"")</f>
        <v/>
      </c>
      <c r="I15" s="120" t="str" cm="1">
        <f t="array" ref="I15">IFERROR(_xlfn.IFS(E15="Eletricidade",ROUND((G15/100)*F15*VLOOKUP(E15,'4.Fatores Conversão'!$A$3:$B$9,2,0)/1000000,2),E15="Hidrogénio",ROUND((G15/100)*F15*VLOOKUP(E15,'4.Fatores Conversão'!$A$3:$B$9,2,0),2)),"")</f>
        <v/>
      </c>
      <c r="J15" s="121" t="str">
        <f>IFERROR(I15*VLOOKUP(E15,'4.Fatores Conversão'!$A$15:$B$21,2,0),"")</f>
        <v/>
      </c>
      <c r="K15" s="126" t="str">
        <f>IF(A15&gt;0,'4.Fatores Conversão'!$A$3,"")</f>
        <v/>
      </c>
      <c r="L15" s="146"/>
      <c r="M15" s="119" t="s">
        <v>20</v>
      </c>
      <c r="N15" s="127">
        <f>IFERROR(F15*(L15/100)*'4.Fatores Conversão'!$B$3,"")</f>
        <v>0</v>
      </c>
      <c r="O15" s="128">
        <f>IFERROR(N15*'4.Fatores Conversão'!$B$15,"")</f>
        <v>0</v>
      </c>
    </row>
    <row r="16" spans="1:15" s="26" customFormat="1" x14ac:dyDescent="0.25">
      <c r="A16" s="38"/>
      <c r="B16" s="61"/>
      <c r="C16" s="61"/>
      <c r="D16" s="61"/>
      <c r="E16" s="62"/>
      <c r="F16" s="39"/>
      <c r="G16" s="39"/>
      <c r="H16" s="119" t="str">
        <f>IFERROR(VLOOKUP(E16,'4.Fatores Conversão'!$I$1:$J$4,2,0),"")</f>
        <v/>
      </c>
      <c r="I16" s="120" t="str" cm="1">
        <f t="array" ref="I16">IFERROR(_xlfn.IFS(E16="Eletricidade",ROUND((G16/100)*F16*VLOOKUP(E16,'4.Fatores Conversão'!$A$3:$B$9,2,0)/1000000,2),E16="Hidrogénio",ROUND((G16/100)*F16*VLOOKUP(E16,'4.Fatores Conversão'!$A$3:$B$9,2,0),2)),"")</f>
        <v/>
      </c>
      <c r="J16" s="121" t="str">
        <f>IFERROR(I16*VLOOKUP(E16,'4.Fatores Conversão'!$A$15:$B$21,2,0),"")</f>
        <v/>
      </c>
      <c r="K16" s="126" t="str">
        <f>IF(A16&gt;0,'4.Fatores Conversão'!$A$3,"")</f>
        <v/>
      </c>
      <c r="L16" s="146"/>
      <c r="M16" s="119" t="s">
        <v>20</v>
      </c>
      <c r="N16" s="127">
        <f>IFERROR(F16*(L16/100)*'4.Fatores Conversão'!$B$3,"")</f>
        <v>0</v>
      </c>
      <c r="O16" s="128">
        <f>IFERROR(N16*'4.Fatores Conversão'!$B$15,"")</f>
        <v>0</v>
      </c>
    </row>
    <row r="17" spans="1:15" s="26" customFormat="1" x14ac:dyDescent="0.25">
      <c r="A17" s="38"/>
      <c r="B17" s="61"/>
      <c r="C17" s="61"/>
      <c r="D17" s="61"/>
      <c r="E17" s="62"/>
      <c r="F17" s="39"/>
      <c r="G17" s="39"/>
      <c r="H17" s="119" t="str">
        <f>IFERROR(VLOOKUP(E17,'4.Fatores Conversão'!$I$1:$J$4,2,0),"")</f>
        <v/>
      </c>
      <c r="I17" s="120" t="str" cm="1">
        <f t="array" ref="I17">IFERROR(_xlfn.IFS(E17="Eletricidade",ROUND((G17/100)*F17*VLOOKUP(E17,'4.Fatores Conversão'!$A$3:$B$9,2,0)/1000000,2),E17="Hidrogénio",ROUND((G17/100)*F17*VLOOKUP(E17,'4.Fatores Conversão'!$A$3:$B$9,2,0),2)),"")</f>
        <v/>
      </c>
      <c r="J17" s="121" t="str">
        <f>IFERROR(I17*VLOOKUP(E17,'4.Fatores Conversão'!$A$15:$B$21,2,0),"")</f>
        <v/>
      </c>
      <c r="K17" s="126" t="str">
        <f>IF(A17&gt;0,'4.Fatores Conversão'!$A$3,"")</f>
        <v/>
      </c>
      <c r="L17" s="146"/>
      <c r="M17" s="119" t="s">
        <v>20</v>
      </c>
      <c r="N17" s="127">
        <f>IFERROR(F17*(L17/100)*'4.Fatores Conversão'!$B$3,"")</f>
        <v>0</v>
      </c>
      <c r="O17" s="128">
        <f>IFERROR(N17*'4.Fatores Conversão'!$B$15,"")</f>
        <v>0</v>
      </c>
    </row>
    <row r="18" spans="1:15" s="26" customFormat="1" x14ac:dyDescent="0.25">
      <c r="A18" s="38"/>
      <c r="B18" s="61"/>
      <c r="C18" s="61"/>
      <c r="D18" s="61"/>
      <c r="E18" s="62"/>
      <c r="F18" s="39"/>
      <c r="G18" s="39"/>
      <c r="H18" s="119" t="str">
        <f>IFERROR(VLOOKUP(E18,'4.Fatores Conversão'!$I$1:$J$4,2,0),"")</f>
        <v/>
      </c>
      <c r="I18" s="120" t="str" cm="1">
        <f t="array" ref="I18">IFERROR(_xlfn.IFS(E18="Eletricidade",ROUND((G18/100)*F18*VLOOKUP(E18,'4.Fatores Conversão'!$A$3:$B$9,2,0)/1000000,2),E18="Hidrogénio",ROUND((G18/100)*F18*VLOOKUP(E18,'4.Fatores Conversão'!$A$3:$B$9,2,0),2)),"")</f>
        <v/>
      </c>
      <c r="J18" s="121" t="str">
        <f>IFERROR(I18*VLOOKUP(E18,'4.Fatores Conversão'!$A$15:$B$21,2,0),"")</f>
        <v/>
      </c>
      <c r="K18" s="126" t="str">
        <f>IF(A18&gt;0,'4.Fatores Conversão'!$A$3,"")</f>
        <v/>
      </c>
      <c r="L18" s="146"/>
      <c r="M18" s="119" t="s">
        <v>20</v>
      </c>
      <c r="N18" s="127">
        <f>IFERROR(F18*(L18/100)*'4.Fatores Conversão'!$B$3,"")</f>
        <v>0</v>
      </c>
      <c r="O18" s="128">
        <f>IFERROR(N18*'4.Fatores Conversão'!$B$15,"")</f>
        <v>0</v>
      </c>
    </row>
    <row r="19" spans="1:15" s="26" customFormat="1" x14ac:dyDescent="0.25">
      <c r="A19" s="38"/>
      <c r="B19" s="61"/>
      <c r="C19" s="61"/>
      <c r="D19" s="61"/>
      <c r="E19" s="62"/>
      <c r="F19" s="39"/>
      <c r="G19" s="39"/>
      <c r="H19" s="119" t="str">
        <f>IFERROR(VLOOKUP(E19,'4.Fatores Conversão'!$I$1:$J$4,2,0),"")</f>
        <v/>
      </c>
      <c r="I19" s="120" t="str" cm="1">
        <f t="array" ref="I19">IFERROR(_xlfn.IFS(E19="Eletricidade",ROUND((G19/100)*F19*VLOOKUP(E19,'4.Fatores Conversão'!$A$3:$B$9,2,0)/1000000,2),E19="Hidrogénio",ROUND((G19/100)*F19*VLOOKUP(E19,'4.Fatores Conversão'!$A$3:$B$9,2,0),2)),"")</f>
        <v/>
      </c>
      <c r="J19" s="121" t="str">
        <f>IFERROR(I19*VLOOKUP(E19,'4.Fatores Conversão'!$A$15:$B$21,2,0),"")</f>
        <v/>
      </c>
      <c r="K19" s="126" t="str">
        <f>IF(A19&gt;0,'4.Fatores Conversão'!$A$3,"")</f>
        <v/>
      </c>
      <c r="L19" s="146"/>
      <c r="M19" s="119" t="s">
        <v>20</v>
      </c>
      <c r="N19" s="127">
        <f>IFERROR(F19*(L19/100)*'4.Fatores Conversão'!$B$3,"")</f>
        <v>0</v>
      </c>
      <c r="O19" s="128">
        <f>IFERROR(N19*'4.Fatores Conversão'!$B$15,"")</f>
        <v>0</v>
      </c>
    </row>
    <row r="20" spans="1:15" s="26" customFormat="1" x14ac:dyDescent="0.25">
      <c r="A20" s="38"/>
      <c r="B20" s="61"/>
      <c r="C20" s="61"/>
      <c r="D20" s="61"/>
      <c r="E20" s="62"/>
      <c r="F20" s="39"/>
      <c r="G20" s="39"/>
      <c r="H20" s="119" t="str">
        <f>IFERROR(VLOOKUP(E20,'4.Fatores Conversão'!$I$1:$J$4,2,0),"")</f>
        <v/>
      </c>
      <c r="I20" s="120" t="str" cm="1">
        <f t="array" ref="I20">IFERROR(_xlfn.IFS(E20="Eletricidade",ROUND((G20/100)*F20*VLOOKUP(E20,'4.Fatores Conversão'!$A$3:$B$9,2,0)/1000000,2),E20="Hidrogénio",ROUND((G20/100)*F20*VLOOKUP(E20,'4.Fatores Conversão'!$A$3:$B$9,2,0),2)),"")</f>
        <v/>
      </c>
      <c r="J20" s="121" t="str">
        <f>IFERROR(I20*VLOOKUP(E20,'4.Fatores Conversão'!$A$15:$B$21,2,0),"")</f>
        <v/>
      </c>
      <c r="K20" s="126" t="str">
        <f>IF(A20&gt;0,'4.Fatores Conversão'!$A$3,"")</f>
        <v/>
      </c>
      <c r="L20" s="146"/>
      <c r="M20" s="119" t="s">
        <v>20</v>
      </c>
      <c r="N20" s="127">
        <f>IFERROR(F20*(L20/100)*'4.Fatores Conversão'!$B$3,"")</f>
        <v>0</v>
      </c>
      <c r="O20" s="128">
        <f>IFERROR(N20*'4.Fatores Conversão'!$B$15,"")</f>
        <v>0</v>
      </c>
    </row>
    <row r="21" spans="1:15" s="26" customFormat="1" x14ac:dyDescent="0.25">
      <c r="A21" s="38"/>
      <c r="B21" s="61"/>
      <c r="C21" s="61"/>
      <c r="D21" s="61"/>
      <c r="E21" s="62"/>
      <c r="F21" s="39"/>
      <c r="G21" s="39"/>
      <c r="H21" s="119" t="str">
        <f>IFERROR(VLOOKUP(E21,'4.Fatores Conversão'!$I$1:$J$4,2,0),"")</f>
        <v/>
      </c>
      <c r="I21" s="120" t="str" cm="1">
        <f t="array" ref="I21">IFERROR(_xlfn.IFS(E21="Eletricidade",ROUND((G21/100)*F21*VLOOKUP(E21,'4.Fatores Conversão'!$A$3:$B$9,2,0)/1000000,2),E21="Hidrogénio",ROUND((G21/100)*F21*VLOOKUP(E21,'4.Fatores Conversão'!$A$3:$B$9,2,0),2)),"")</f>
        <v/>
      </c>
      <c r="J21" s="121" t="str">
        <f>IFERROR(I21*VLOOKUP(E21,'4.Fatores Conversão'!$A$15:$B$21,2,0),"")</f>
        <v/>
      </c>
      <c r="K21" s="126" t="str">
        <f>IF(A21&gt;0,'4.Fatores Conversão'!$A$3,"")</f>
        <v/>
      </c>
      <c r="L21" s="146"/>
      <c r="M21" s="119" t="s">
        <v>20</v>
      </c>
      <c r="N21" s="127">
        <f>IFERROR(F21*(L21/100)*'4.Fatores Conversão'!$B$3,"")</f>
        <v>0</v>
      </c>
      <c r="O21" s="128">
        <f>IFERROR(N21*'4.Fatores Conversão'!$B$15,"")</f>
        <v>0</v>
      </c>
    </row>
    <row r="22" spans="1:15" s="26" customFormat="1" x14ac:dyDescent="0.25">
      <c r="A22" s="38"/>
      <c r="B22" s="61"/>
      <c r="C22" s="61"/>
      <c r="D22" s="61"/>
      <c r="E22" s="62"/>
      <c r="F22" s="39"/>
      <c r="G22" s="39"/>
      <c r="H22" s="119" t="str">
        <f>IFERROR(VLOOKUP(E22,'4.Fatores Conversão'!$I$1:$J$4,2,0),"")</f>
        <v/>
      </c>
      <c r="I22" s="120" t="str" cm="1">
        <f t="array" ref="I22">IFERROR(_xlfn.IFS(E22="Eletricidade",ROUND((G22/100)*F22*VLOOKUP(E22,'4.Fatores Conversão'!$A$3:$B$9,2,0)/1000000,2),E22="Hidrogénio",ROUND((G22/100)*F22*VLOOKUP(E22,'4.Fatores Conversão'!$A$3:$B$9,2,0),2)),"")</f>
        <v/>
      </c>
      <c r="J22" s="121" t="str">
        <f>IFERROR(I22*VLOOKUP(E22,'4.Fatores Conversão'!$A$15:$B$21,2,0),"")</f>
        <v/>
      </c>
      <c r="K22" s="126" t="str">
        <f>IF(A22&gt;0,'4.Fatores Conversão'!$A$3,"")</f>
        <v/>
      </c>
      <c r="L22" s="146"/>
      <c r="M22" s="119" t="s">
        <v>20</v>
      </c>
      <c r="N22" s="127">
        <f>IFERROR(F22*(L22/100)*'4.Fatores Conversão'!$B$3,"")</f>
        <v>0</v>
      </c>
      <c r="O22" s="128">
        <f>IFERROR(N22*'4.Fatores Conversão'!$B$15,"")</f>
        <v>0</v>
      </c>
    </row>
    <row r="23" spans="1:15" s="26" customFormat="1" x14ac:dyDescent="0.25">
      <c r="A23" s="38"/>
      <c r="B23" s="61"/>
      <c r="C23" s="61"/>
      <c r="D23" s="61"/>
      <c r="E23" s="62"/>
      <c r="F23" s="39"/>
      <c r="G23" s="39"/>
      <c r="H23" s="119" t="str">
        <f>IFERROR(VLOOKUP(E23,'4.Fatores Conversão'!$I$1:$J$4,2,0),"")</f>
        <v/>
      </c>
      <c r="I23" s="120" t="str" cm="1">
        <f t="array" ref="I23">IFERROR(_xlfn.IFS(E23="Eletricidade",ROUND((G23/100)*F23*VLOOKUP(E23,'4.Fatores Conversão'!$A$3:$B$9,2,0)/1000000,2),E23="Hidrogénio",ROUND((G23/100)*F23*VLOOKUP(E23,'4.Fatores Conversão'!$A$3:$B$9,2,0),2)),"")</f>
        <v/>
      </c>
      <c r="J23" s="121" t="str">
        <f>IFERROR(I23*VLOOKUP(E23,'4.Fatores Conversão'!$A$15:$B$21,2,0),"")</f>
        <v/>
      </c>
      <c r="K23" s="126" t="str">
        <f>IF(A23&gt;0,'4.Fatores Conversão'!$A$3,"")</f>
        <v/>
      </c>
      <c r="L23" s="146"/>
      <c r="M23" s="119" t="s">
        <v>20</v>
      </c>
      <c r="N23" s="127">
        <f>IFERROR(F23*(L23/100)*'4.Fatores Conversão'!$B$3,"")</f>
        <v>0</v>
      </c>
      <c r="O23" s="128">
        <f>IFERROR(N23*'4.Fatores Conversão'!$B$15,"")</f>
        <v>0</v>
      </c>
    </row>
    <row r="24" spans="1:15" s="26" customFormat="1" x14ac:dyDescent="0.25">
      <c r="A24" s="38"/>
      <c r="B24" s="61"/>
      <c r="C24" s="61"/>
      <c r="D24" s="61"/>
      <c r="E24" s="62"/>
      <c r="F24" s="39"/>
      <c r="G24" s="39"/>
      <c r="H24" s="119" t="str">
        <f>IFERROR(VLOOKUP(E24,'4.Fatores Conversão'!$I$1:$J$4,2,0),"")</f>
        <v/>
      </c>
      <c r="I24" s="120" t="str" cm="1">
        <f t="array" ref="I24">IFERROR(_xlfn.IFS(E24="Eletricidade",ROUND((G24/100)*F24*VLOOKUP(E24,'4.Fatores Conversão'!$A$3:$B$9,2,0)/1000000,2),E24="Hidrogénio",ROUND((G24/100)*F24*VLOOKUP(E24,'4.Fatores Conversão'!$A$3:$B$9,2,0),2)),"")</f>
        <v/>
      </c>
      <c r="J24" s="121" t="str">
        <f>IFERROR(I24*VLOOKUP(E24,'4.Fatores Conversão'!$A$15:$B$21,2,0),"")</f>
        <v/>
      </c>
      <c r="K24" s="126" t="str">
        <f>IF(A24&gt;0,'4.Fatores Conversão'!$A$3,"")</f>
        <v/>
      </c>
      <c r="L24" s="146"/>
      <c r="M24" s="119" t="s">
        <v>20</v>
      </c>
      <c r="N24" s="127">
        <f>IFERROR(F24*(L24/100)*'4.Fatores Conversão'!$B$3,"")</f>
        <v>0</v>
      </c>
      <c r="O24" s="128">
        <f>IFERROR(N24*'4.Fatores Conversão'!$B$15,"")</f>
        <v>0</v>
      </c>
    </row>
    <row r="25" spans="1:15" s="26" customFormat="1" outlineLevel="2" x14ac:dyDescent="0.25">
      <c r="A25" s="38"/>
      <c r="B25" s="61"/>
      <c r="C25" s="61"/>
      <c r="D25" s="61"/>
      <c r="E25" s="62"/>
      <c r="F25" s="39"/>
      <c r="G25" s="39"/>
      <c r="H25" s="119" t="str">
        <f>IFERROR(VLOOKUP(E25,'4.Fatores Conversão'!$I$1:$J$4,2,0),"")</f>
        <v/>
      </c>
      <c r="I25" s="120" t="str" cm="1">
        <f t="array" ref="I25">IFERROR(_xlfn.IFS(E25="Eletricidade",ROUND((G25/100)*F25*VLOOKUP(E25,'4.Fatores Conversão'!$A$3:$B$9,2,0)/1000000,2),E25="Hidrogénio",ROUND((G25/100)*F25*VLOOKUP(E25,'4.Fatores Conversão'!$A$3:$B$9,2,0),2)),"")</f>
        <v/>
      </c>
      <c r="J25" s="121" t="str">
        <f>IFERROR(I25*VLOOKUP(E25,'4.Fatores Conversão'!$A$15:$B$21,2,0),"")</f>
        <v/>
      </c>
      <c r="K25" s="126" t="str">
        <f>IF(A25&gt;0,'4.Fatores Conversão'!$A$3,"")</f>
        <v/>
      </c>
      <c r="L25" s="146"/>
      <c r="M25" s="119" t="s">
        <v>20</v>
      </c>
      <c r="N25" s="127">
        <f>IFERROR(F25*(L25/100)*'4.Fatores Conversão'!$B$3,"")</f>
        <v>0</v>
      </c>
      <c r="O25" s="128">
        <f>IFERROR(N25*'4.Fatores Conversão'!$B$15,"")</f>
        <v>0</v>
      </c>
    </row>
    <row r="26" spans="1:15" s="26" customFormat="1" outlineLevel="2" x14ac:dyDescent="0.25">
      <c r="A26" s="38"/>
      <c r="B26" s="61"/>
      <c r="C26" s="61"/>
      <c r="D26" s="61"/>
      <c r="E26" s="62"/>
      <c r="F26" s="39"/>
      <c r="G26" s="39"/>
      <c r="H26" s="119" t="str">
        <f>IFERROR(VLOOKUP(E26,'4.Fatores Conversão'!$I$1:$J$4,2,0),"")</f>
        <v/>
      </c>
      <c r="I26" s="120" t="str" cm="1">
        <f t="array" ref="I26">IFERROR(_xlfn.IFS(E26="Eletricidade",ROUND((G26/100)*F26*VLOOKUP(E26,'4.Fatores Conversão'!$A$3:$B$9,2,0)/1000000,2),E26="Hidrogénio",ROUND((G26/100)*F26*VLOOKUP(E26,'4.Fatores Conversão'!$A$3:$B$9,2,0),2)),"")</f>
        <v/>
      </c>
      <c r="J26" s="121" t="str">
        <f>IFERROR(I26*VLOOKUP(E26,'4.Fatores Conversão'!$A$15:$B$21,2,0),"")</f>
        <v/>
      </c>
      <c r="K26" s="126" t="str">
        <f>IF(A26&gt;0,'4.Fatores Conversão'!$A$3,"")</f>
        <v/>
      </c>
      <c r="L26" s="146"/>
      <c r="M26" s="119" t="s">
        <v>20</v>
      </c>
      <c r="N26" s="127">
        <f>IFERROR(F26*(L26/100)*'4.Fatores Conversão'!$B$3,"")</f>
        <v>0</v>
      </c>
      <c r="O26" s="128">
        <f>IFERROR(N26*'4.Fatores Conversão'!$B$15,"")</f>
        <v>0</v>
      </c>
    </row>
    <row r="27" spans="1:15" s="26" customFormat="1" outlineLevel="2" x14ac:dyDescent="0.25">
      <c r="A27" s="38"/>
      <c r="B27" s="61"/>
      <c r="C27" s="61"/>
      <c r="D27" s="61"/>
      <c r="E27" s="62"/>
      <c r="F27" s="39"/>
      <c r="G27" s="39"/>
      <c r="H27" s="119" t="str">
        <f>IFERROR(VLOOKUP(E27,'4.Fatores Conversão'!$I$1:$J$4,2,0),"")</f>
        <v/>
      </c>
      <c r="I27" s="120" t="str" cm="1">
        <f t="array" ref="I27">IFERROR(_xlfn.IFS(E27="Eletricidade",ROUND((G27/100)*F27*VLOOKUP(E27,'4.Fatores Conversão'!$A$3:$B$9,2,0)/1000000,2),E27="Hidrogénio",ROUND((G27/100)*F27*VLOOKUP(E27,'4.Fatores Conversão'!$A$3:$B$9,2,0),2)),"")</f>
        <v/>
      </c>
      <c r="J27" s="121" t="str">
        <f>IFERROR(I27*VLOOKUP(E27,'4.Fatores Conversão'!$A$15:$B$21,2,0),"")</f>
        <v/>
      </c>
      <c r="K27" s="126" t="str">
        <f>IF(A27&gt;0,'4.Fatores Conversão'!$A$3,"")</f>
        <v/>
      </c>
      <c r="L27" s="146"/>
      <c r="M27" s="119" t="s">
        <v>20</v>
      </c>
      <c r="N27" s="127">
        <f>IFERROR(F27*(L27/100)*'4.Fatores Conversão'!$B$3,"")</f>
        <v>0</v>
      </c>
      <c r="O27" s="128">
        <f>IFERROR(N27*'4.Fatores Conversão'!$B$15,"")</f>
        <v>0</v>
      </c>
    </row>
    <row r="28" spans="1:15" s="26" customFormat="1" outlineLevel="2" x14ac:dyDescent="0.25">
      <c r="A28" s="38"/>
      <c r="B28" s="61"/>
      <c r="C28" s="61"/>
      <c r="D28" s="61"/>
      <c r="E28" s="62"/>
      <c r="F28" s="39"/>
      <c r="G28" s="39"/>
      <c r="H28" s="119" t="str">
        <f>IFERROR(VLOOKUP(E28,'4.Fatores Conversão'!$I$1:$J$4,2,0),"")</f>
        <v/>
      </c>
      <c r="I28" s="120" t="str" cm="1">
        <f t="array" ref="I28">IFERROR(_xlfn.IFS(E28="Eletricidade",ROUND((G28/100)*F28*VLOOKUP(E28,'4.Fatores Conversão'!$A$3:$B$9,2,0)/1000000,2),E28="Hidrogénio",ROUND((G28/100)*F28*VLOOKUP(E28,'4.Fatores Conversão'!$A$3:$B$9,2,0),2)),"")</f>
        <v/>
      </c>
      <c r="J28" s="121" t="str">
        <f>IFERROR(I28*VLOOKUP(E28,'4.Fatores Conversão'!$A$15:$B$21,2,0),"")</f>
        <v/>
      </c>
      <c r="K28" s="126" t="str">
        <f>IF(A28&gt;0,'4.Fatores Conversão'!$A$3,"")</f>
        <v/>
      </c>
      <c r="L28" s="146"/>
      <c r="M28" s="119" t="s">
        <v>20</v>
      </c>
      <c r="N28" s="127">
        <f>IFERROR(F28*(L28/100)*'4.Fatores Conversão'!$B$3,"")</f>
        <v>0</v>
      </c>
      <c r="O28" s="128">
        <f>IFERROR(N28*'4.Fatores Conversão'!$B$15,"")</f>
        <v>0</v>
      </c>
    </row>
    <row r="29" spans="1:15" s="26" customFormat="1" outlineLevel="2" x14ac:dyDescent="0.25">
      <c r="A29" s="38"/>
      <c r="B29" s="61"/>
      <c r="C29" s="61"/>
      <c r="D29" s="61"/>
      <c r="E29" s="62"/>
      <c r="F29" s="39"/>
      <c r="G29" s="39"/>
      <c r="H29" s="119" t="str">
        <f>IFERROR(VLOOKUP(E29,'4.Fatores Conversão'!$I$1:$J$4,2,0),"")</f>
        <v/>
      </c>
      <c r="I29" s="120" t="str" cm="1">
        <f t="array" ref="I29">IFERROR(_xlfn.IFS(E29="Eletricidade",ROUND((G29/100)*F29*VLOOKUP(E29,'4.Fatores Conversão'!$A$3:$B$9,2,0)/1000000,2),E29="Hidrogénio",ROUND((G29/100)*F29*VLOOKUP(E29,'4.Fatores Conversão'!$A$3:$B$9,2,0),2)),"")</f>
        <v/>
      </c>
      <c r="J29" s="121" t="str">
        <f>IFERROR(I29*VLOOKUP(E29,'4.Fatores Conversão'!$A$15:$B$21,2,0),"")</f>
        <v/>
      </c>
      <c r="K29" s="126" t="str">
        <f>IF(A29&gt;0,'4.Fatores Conversão'!$A$3,"")</f>
        <v/>
      </c>
      <c r="L29" s="146"/>
      <c r="M29" s="119" t="s">
        <v>20</v>
      </c>
      <c r="N29" s="127">
        <f>IFERROR(F29*(L29/100)*'4.Fatores Conversão'!$B$3,"")</f>
        <v>0</v>
      </c>
      <c r="O29" s="128">
        <f>IFERROR(N29*'4.Fatores Conversão'!$B$15,"")</f>
        <v>0</v>
      </c>
    </row>
    <row r="30" spans="1:15" s="26" customFormat="1" outlineLevel="2" x14ac:dyDescent="0.25">
      <c r="A30" s="38"/>
      <c r="B30" s="61"/>
      <c r="C30" s="61"/>
      <c r="D30" s="61"/>
      <c r="E30" s="62"/>
      <c r="F30" s="39"/>
      <c r="G30" s="39"/>
      <c r="H30" s="119" t="str">
        <f>IFERROR(VLOOKUP(E30,'4.Fatores Conversão'!$I$1:$J$4,2,0),"")</f>
        <v/>
      </c>
      <c r="I30" s="120" t="str" cm="1">
        <f t="array" ref="I30">IFERROR(_xlfn.IFS(E30="Eletricidade",ROUND((G30/100)*F30*VLOOKUP(E30,'4.Fatores Conversão'!$A$3:$B$9,2,0)/1000000,2),E30="Hidrogénio",ROUND((G30/100)*F30*VLOOKUP(E30,'4.Fatores Conversão'!$A$3:$B$9,2,0),2)),"")</f>
        <v/>
      </c>
      <c r="J30" s="121" t="str">
        <f>IFERROR(I30*VLOOKUP(E30,'4.Fatores Conversão'!$A$15:$B$21,2,0),"")</f>
        <v/>
      </c>
      <c r="K30" s="126" t="str">
        <f>IF(A30&gt;0,'4.Fatores Conversão'!$A$3,"")</f>
        <v/>
      </c>
      <c r="L30" s="146"/>
      <c r="M30" s="119" t="s">
        <v>20</v>
      </c>
      <c r="N30" s="127">
        <f>IFERROR(F30*(L30/100)*'4.Fatores Conversão'!$B$3,"")</f>
        <v>0</v>
      </c>
      <c r="O30" s="128">
        <f>IFERROR(N30*'4.Fatores Conversão'!$B$15,"")</f>
        <v>0</v>
      </c>
    </row>
    <row r="31" spans="1:15" s="26" customFormat="1" outlineLevel="2" x14ac:dyDescent="0.25">
      <c r="A31" s="38"/>
      <c r="B31" s="61"/>
      <c r="C31" s="61"/>
      <c r="D31" s="61"/>
      <c r="E31" s="62"/>
      <c r="F31" s="39"/>
      <c r="G31" s="39"/>
      <c r="H31" s="119" t="str">
        <f>IFERROR(VLOOKUP(E31,'4.Fatores Conversão'!$I$1:$J$4,2,0),"")</f>
        <v/>
      </c>
      <c r="I31" s="120" t="str" cm="1">
        <f t="array" ref="I31">IFERROR(_xlfn.IFS(E31="Eletricidade",ROUND((G31/100)*F31*VLOOKUP(E31,'4.Fatores Conversão'!$A$3:$B$9,2,0)/1000000,2),E31="Hidrogénio",ROUND((G31/100)*F31*VLOOKUP(E31,'4.Fatores Conversão'!$A$3:$B$9,2,0),2)),"")</f>
        <v/>
      </c>
      <c r="J31" s="121" t="str">
        <f>IFERROR(I31*VLOOKUP(E31,'4.Fatores Conversão'!$A$15:$B$21,2,0),"")</f>
        <v/>
      </c>
      <c r="K31" s="126" t="str">
        <f>IF(A31&gt;0,'4.Fatores Conversão'!$A$3,"")</f>
        <v/>
      </c>
      <c r="L31" s="146"/>
      <c r="M31" s="119" t="s">
        <v>20</v>
      </c>
      <c r="N31" s="127">
        <f>IFERROR(F31*(L31/100)*'4.Fatores Conversão'!$B$3,"")</f>
        <v>0</v>
      </c>
      <c r="O31" s="128">
        <f>IFERROR(N31*'4.Fatores Conversão'!$B$15,"")</f>
        <v>0</v>
      </c>
    </row>
    <row r="32" spans="1:15" s="26" customFormat="1" outlineLevel="2" x14ac:dyDescent="0.25">
      <c r="A32" s="38"/>
      <c r="B32" s="61"/>
      <c r="C32" s="61"/>
      <c r="D32" s="61"/>
      <c r="E32" s="62"/>
      <c r="F32" s="39"/>
      <c r="G32" s="39"/>
      <c r="H32" s="119" t="str">
        <f>IFERROR(VLOOKUP(E32,'4.Fatores Conversão'!$I$1:$J$4,2,0),"")</f>
        <v/>
      </c>
      <c r="I32" s="120" t="str" cm="1">
        <f t="array" ref="I32">IFERROR(_xlfn.IFS(E32="Eletricidade",ROUND((G32/100)*F32*VLOOKUP(E32,'4.Fatores Conversão'!$A$3:$B$9,2,0)/1000000,2),E32="Hidrogénio",ROUND((G32/100)*F32*VLOOKUP(E32,'4.Fatores Conversão'!$A$3:$B$9,2,0),2)),"")</f>
        <v/>
      </c>
      <c r="J32" s="121" t="str">
        <f>IFERROR(I32*VLOOKUP(E32,'4.Fatores Conversão'!$A$15:$B$21,2,0),"")</f>
        <v/>
      </c>
      <c r="K32" s="126" t="str">
        <f>IF(A32&gt;0,'4.Fatores Conversão'!$A$3,"")</f>
        <v/>
      </c>
      <c r="L32" s="146"/>
      <c r="M32" s="119" t="s">
        <v>20</v>
      </c>
      <c r="N32" s="127">
        <f>IFERROR(F32*(L32/100)*'4.Fatores Conversão'!$B$3,"")</f>
        <v>0</v>
      </c>
      <c r="O32" s="128">
        <f>IFERROR(N32*'4.Fatores Conversão'!$B$15,"")</f>
        <v>0</v>
      </c>
    </row>
    <row r="33" spans="1:15" s="26" customFormat="1" outlineLevel="2" x14ac:dyDescent="0.25">
      <c r="A33" s="38"/>
      <c r="B33" s="61"/>
      <c r="C33" s="61"/>
      <c r="D33" s="61"/>
      <c r="E33" s="62"/>
      <c r="F33" s="39"/>
      <c r="G33" s="39"/>
      <c r="H33" s="119" t="str">
        <f>IFERROR(VLOOKUP(E33,'4.Fatores Conversão'!$I$1:$J$4,2,0),"")</f>
        <v/>
      </c>
      <c r="I33" s="120" t="str" cm="1">
        <f t="array" ref="I33">IFERROR(_xlfn.IFS(E33="Eletricidade",ROUND((G33/100)*F33*VLOOKUP(E33,'4.Fatores Conversão'!$A$3:$B$9,2,0)/1000000,2),E33="Hidrogénio",ROUND((G33/100)*F33*VLOOKUP(E33,'4.Fatores Conversão'!$A$3:$B$9,2,0),2)),"")</f>
        <v/>
      </c>
      <c r="J33" s="121" t="str">
        <f>IFERROR(I33*VLOOKUP(E33,'4.Fatores Conversão'!$A$15:$B$21,2,0),"")</f>
        <v/>
      </c>
      <c r="K33" s="126" t="str">
        <f>IF(A33&gt;0,'4.Fatores Conversão'!$A$3,"")</f>
        <v/>
      </c>
      <c r="L33" s="146"/>
      <c r="M33" s="119" t="s">
        <v>20</v>
      </c>
      <c r="N33" s="127">
        <f>IFERROR(F33*(L33/100)*'4.Fatores Conversão'!$B$3,"")</f>
        <v>0</v>
      </c>
      <c r="O33" s="128">
        <f>IFERROR(N33*'4.Fatores Conversão'!$B$15,"")</f>
        <v>0</v>
      </c>
    </row>
    <row r="34" spans="1:15" s="26" customFormat="1" outlineLevel="2" x14ac:dyDescent="0.25">
      <c r="A34" s="38"/>
      <c r="B34" s="61"/>
      <c r="C34" s="61"/>
      <c r="D34" s="61"/>
      <c r="E34" s="62"/>
      <c r="F34" s="39"/>
      <c r="G34" s="39"/>
      <c r="H34" s="119" t="str">
        <f>IFERROR(VLOOKUP(E34,'4.Fatores Conversão'!$I$1:$J$4,2,0),"")</f>
        <v/>
      </c>
      <c r="I34" s="120" t="str" cm="1">
        <f t="array" ref="I34">IFERROR(_xlfn.IFS(E34="Eletricidade",ROUND((G34/100)*F34*VLOOKUP(E34,'4.Fatores Conversão'!$A$3:$B$9,2,0)/1000000,2),E34="Hidrogénio",ROUND((G34/100)*F34*VLOOKUP(E34,'4.Fatores Conversão'!$A$3:$B$9,2,0),2)),"")</f>
        <v/>
      </c>
      <c r="J34" s="121" t="str">
        <f>IFERROR(I34*VLOOKUP(E34,'4.Fatores Conversão'!$A$15:$B$21,2,0),"")</f>
        <v/>
      </c>
      <c r="K34" s="126" t="str">
        <f>IF(A34&gt;0,'4.Fatores Conversão'!$A$3,"")</f>
        <v/>
      </c>
      <c r="L34" s="146"/>
      <c r="M34" s="119" t="s">
        <v>20</v>
      </c>
      <c r="N34" s="127">
        <f>IFERROR(F34*(L34/100)*'4.Fatores Conversão'!$B$3,"")</f>
        <v>0</v>
      </c>
      <c r="O34" s="128">
        <f>IFERROR(N34*'4.Fatores Conversão'!$B$15,"")</f>
        <v>0</v>
      </c>
    </row>
    <row r="35" spans="1:15" s="26" customFormat="1" outlineLevel="2" x14ac:dyDescent="0.25">
      <c r="A35" s="38"/>
      <c r="B35" s="61"/>
      <c r="C35" s="61"/>
      <c r="D35" s="61"/>
      <c r="E35" s="62"/>
      <c r="F35" s="39"/>
      <c r="G35" s="39"/>
      <c r="H35" s="119" t="str">
        <f>IFERROR(VLOOKUP(E35,'4.Fatores Conversão'!$I$1:$J$4,2,0),"")</f>
        <v/>
      </c>
      <c r="I35" s="120" t="str" cm="1">
        <f t="array" ref="I35">IFERROR(_xlfn.IFS(E35="Eletricidade",ROUND((G35/100)*F35*VLOOKUP(E35,'4.Fatores Conversão'!$A$3:$B$9,2,0)/1000000,2),E35="Hidrogénio",ROUND((G35/100)*F35*VLOOKUP(E35,'4.Fatores Conversão'!$A$3:$B$9,2,0),2)),"")</f>
        <v/>
      </c>
      <c r="J35" s="121" t="str">
        <f>IFERROR(I35*VLOOKUP(E35,'4.Fatores Conversão'!$A$15:$B$21,2,0),"")</f>
        <v/>
      </c>
      <c r="K35" s="126" t="str">
        <f>IF(A35&gt;0,'4.Fatores Conversão'!$A$3,"")</f>
        <v/>
      </c>
      <c r="L35" s="146"/>
      <c r="M35" s="119" t="s">
        <v>20</v>
      </c>
      <c r="N35" s="127">
        <f>IFERROR(F35*(L35/100)*'4.Fatores Conversão'!$B$3,"")</f>
        <v>0</v>
      </c>
      <c r="O35" s="128">
        <f>IFERROR(N35*'4.Fatores Conversão'!$B$15,"")</f>
        <v>0</v>
      </c>
    </row>
    <row r="36" spans="1:15" s="26" customFormat="1" outlineLevel="2" x14ac:dyDescent="0.25">
      <c r="A36" s="38"/>
      <c r="B36" s="61"/>
      <c r="C36" s="61"/>
      <c r="D36" s="61"/>
      <c r="E36" s="62"/>
      <c r="F36" s="39"/>
      <c r="G36" s="39"/>
      <c r="H36" s="119" t="str">
        <f>IFERROR(VLOOKUP(E36,'4.Fatores Conversão'!$I$1:$J$4,2,0),"")</f>
        <v/>
      </c>
      <c r="I36" s="120" t="str" cm="1">
        <f t="array" ref="I36">IFERROR(_xlfn.IFS(E36="Eletricidade",ROUND((G36/100)*F36*VLOOKUP(E36,'4.Fatores Conversão'!$A$3:$B$9,2,0)/1000000,2),E36="Hidrogénio",ROUND((G36/100)*F36*VLOOKUP(E36,'4.Fatores Conversão'!$A$3:$B$9,2,0),2)),"")</f>
        <v/>
      </c>
      <c r="J36" s="121" t="str">
        <f>IFERROR(I36*VLOOKUP(E36,'4.Fatores Conversão'!$A$15:$B$21,2,0),"")</f>
        <v/>
      </c>
      <c r="K36" s="126" t="str">
        <f>IF(A36&gt;0,'4.Fatores Conversão'!$A$3,"")</f>
        <v/>
      </c>
      <c r="L36" s="146"/>
      <c r="M36" s="119" t="s">
        <v>20</v>
      </c>
      <c r="N36" s="127">
        <f>IFERROR(F36*(L36/100)*'4.Fatores Conversão'!$B$3,"")</f>
        <v>0</v>
      </c>
      <c r="O36" s="128">
        <f>IFERROR(N36*'4.Fatores Conversão'!$B$15,"")</f>
        <v>0</v>
      </c>
    </row>
    <row r="37" spans="1:15" s="26" customFormat="1" outlineLevel="2" x14ac:dyDescent="0.25">
      <c r="A37" s="38"/>
      <c r="B37" s="61"/>
      <c r="C37" s="61"/>
      <c r="D37" s="61"/>
      <c r="E37" s="62"/>
      <c r="F37" s="39"/>
      <c r="G37" s="39"/>
      <c r="H37" s="119" t="str">
        <f>IFERROR(VLOOKUP(E37,'4.Fatores Conversão'!$I$1:$J$4,2,0),"")</f>
        <v/>
      </c>
      <c r="I37" s="120" t="str" cm="1">
        <f t="array" ref="I37">IFERROR(_xlfn.IFS(E37="Eletricidade",ROUND((G37/100)*F37*VLOOKUP(E37,'4.Fatores Conversão'!$A$3:$B$9,2,0)/1000000,2),E37="Hidrogénio",ROUND((G37/100)*F37*VLOOKUP(E37,'4.Fatores Conversão'!$A$3:$B$9,2,0),2)),"")</f>
        <v/>
      </c>
      <c r="J37" s="121" t="str">
        <f>IFERROR(I37*VLOOKUP(E37,'4.Fatores Conversão'!$A$15:$B$21,2,0),"")</f>
        <v/>
      </c>
      <c r="K37" s="126" t="str">
        <f>IF(A37&gt;0,'4.Fatores Conversão'!$A$3,"")</f>
        <v/>
      </c>
      <c r="L37" s="146"/>
      <c r="M37" s="119" t="s">
        <v>20</v>
      </c>
      <c r="N37" s="127">
        <f>IFERROR(F37*(L37/100)*'4.Fatores Conversão'!$B$3,"")</f>
        <v>0</v>
      </c>
      <c r="O37" s="128">
        <f>IFERROR(N37*'4.Fatores Conversão'!$B$15,"")</f>
        <v>0</v>
      </c>
    </row>
    <row r="38" spans="1:15" s="26" customFormat="1" outlineLevel="2" x14ac:dyDescent="0.25">
      <c r="A38" s="38"/>
      <c r="B38" s="61"/>
      <c r="C38" s="61"/>
      <c r="D38" s="61"/>
      <c r="E38" s="62"/>
      <c r="F38" s="39"/>
      <c r="G38" s="39"/>
      <c r="H38" s="119" t="str">
        <f>IFERROR(VLOOKUP(E38,'4.Fatores Conversão'!$I$1:$J$4,2,0),"")</f>
        <v/>
      </c>
      <c r="I38" s="120" t="str" cm="1">
        <f t="array" ref="I38">IFERROR(_xlfn.IFS(E38="Eletricidade",ROUND((G38/100)*F38*VLOOKUP(E38,'4.Fatores Conversão'!$A$3:$B$9,2,0)/1000000,2),E38="Hidrogénio",ROUND((G38/100)*F38*VLOOKUP(E38,'4.Fatores Conversão'!$A$3:$B$9,2,0),2)),"")</f>
        <v/>
      </c>
      <c r="J38" s="121" t="str">
        <f>IFERROR(I38*VLOOKUP(E38,'4.Fatores Conversão'!$A$15:$B$21,2,0),"")</f>
        <v/>
      </c>
      <c r="K38" s="126" t="str">
        <f>IF(A38&gt;0,'4.Fatores Conversão'!$A$3,"")</f>
        <v/>
      </c>
      <c r="L38" s="146"/>
      <c r="M38" s="119" t="s">
        <v>20</v>
      </c>
      <c r="N38" s="127">
        <f>IFERROR(F38*(L38/100)*'4.Fatores Conversão'!$B$3,"")</f>
        <v>0</v>
      </c>
      <c r="O38" s="128">
        <f>IFERROR(N38*'4.Fatores Conversão'!$B$15,"")</f>
        <v>0</v>
      </c>
    </row>
    <row r="39" spans="1:15" s="26" customFormat="1" outlineLevel="2" x14ac:dyDescent="0.25">
      <c r="A39" s="38"/>
      <c r="B39" s="61"/>
      <c r="C39" s="61"/>
      <c r="D39" s="61"/>
      <c r="E39" s="62"/>
      <c r="F39" s="39"/>
      <c r="G39" s="39"/>
      <c r="H39" s="119" t="str">
        <f>IFERROR(VLOOKUP(E39,'4.Fatores Conversão'!$I$1:$J$4,2,0),"")</f>
        <v/>
      </c>
      <c r="I39" s="120" t="str" cm="1">
        <f t="array" ref="I39">IFERROR(_xlfn.IFS(E39="Eletricidade",ROUND((G39/100)*F39*VLOOKUP(E39,'4.Fatores Conversão'!$A$3:$B$9,2,0)/1000000,2),E39="Hidrogénio",ROUND((G39/100)*F39*VLOOKUP(E39,'4.Fatores Conversão'!$A$3:$B$9,2,0),2)),"")</f>
        <v/>
      </c>
      <c r="J39" s="121" t="str">
        <f>IFERROR(I39*VLOOKUP(E39,'4.Fatores Conversão'!$A$15:$B$21,2,0),"")</f>
        <v/>
      </c>
      <c r="K39" s="126" t="str">
        <f>IF(A39&gt;0,'4.Fatores Conversão'!$A$3,"")</f>
        <v/>
      </c>
      <c r="L39" s="146"/>
      <c r="M39" s="119" t="s">
        <v>20</v>
      </c>
      <c r="N39" s="127">
        <f>IFERROR(F39*(L39/100)*'4.Fatores Conversão'!$B$3,"")</f>
        <v>0</v>
      </c>
      <c r="O39" s="128">
        <f>IFERROR(N39*'4.Fatores Conversão'!$B$15,"")</f>
        <v>0</v>
      </c>
    </row>
    <row r="40" spans="1:15" s="26" customFormat="1" outlineLevel="2" x14ac:dyDescent="0.25">
      <c r="A40" s="38"/>
      <c r="B40" s="61"/>
      <c r="C40" s="61"/>
      <c r="D40" s="61"/>
      <c r="E40" s="62"/>
      <c r="F40" s="39"/>
      <c r="G40" s="39"/>
      <c r="H40" s="119" t="str">
        <f>IFERROR(VLOOKUP(E40,'4.Fatores Conversão'!$I$1:$J$4,2,0),"")</f>
        <v/>
      </c>
      <c r="I40" s="120" t="str" cm="1">
        <f t="array" ref="I40">IFERROR(_xlfn.IFS(E40="Eletricidade",ROUND((G40/100)*F40*VLOOKUP(E40,'4.Fatores Conversão'!$A$3:$B$9,2,0)/1000000,2),E40="Hidrogénio",ROUND((G40/100)*F40*VLOOKUP(E40,'4.Fatores Conversão'!$A$3:$B$9,2,0),2)),"")</f>
        <v/>
      </c>
      <c r="J40" s="121" t="str">
        <f>IFERROR(I40*VLOOKUP(E40,'4.Fatores Conversão'!$A$15:$B$21,2,0),"")</f>
        <v/>
      </c>
      <c r="K40" s="126" t="str">
        <f>IF(A40&gt;0,'4.Fatores Conversão'!$A$3,"")</f>
        <v/>
      </c>
      <c r="L40" s="146"/>
      <c r="M40" s="119" t="s">
        <v>20</v>
      </c>
      <c r="N40" s="127">
        <f>IFERROR(F40*(L40/100)*'4.Fatores Conversão'!$B$3,"")</f>
        <v>0</v>
      </c>
      <c r="O40" s="128">
        <f>IFERROR(N40*'4.Fatores Conversão'!$B$15,"")</f>
        <v>0</v>
      </c>
    </row>
    <row r="41" spans="1:15" s="26" customFormat="1" outlineLevel="2" x14ac:dyDescent="0.25">
      <c r="A41" s="38"/>
      <c r="B41" s="61"/>
      <c r="C41" s="61"/>
      <c r="D41" s="61"/>
      <c r="E41" s="62"/>
      <c r="F41" s="39"/>
      <c r="G41" s="39"/>
      <c r="H41" s="119" t="str">
        <f>IFERROR(VLOOKUP(E41,'4.Fatores Conversão'!$I$1:$J$4,2,0),"")</f>
        <v/>
      </c>
      <c r="I41" s="120" t="str" cm="1">
        <f t="array" ref="I41">IFERROR(_xlfn.IFS(E41="Eletricidade",ROUND((G41/100)*F41*VLOOKUP(E41,'4.Fatores Conversão'!$A$3:$B$9,2,0)/1000000,2),E41="Hidrogénio",ROUND((G41/100)*F41*VLOOKUP(E41,'4.Fatores Conversão'!$A$3:$B$9,2,0),2)),"")</f>
        <v/>
      </c>
      <c r="J41" s="121" t="str">
        <f>IFERROR(I41*VLOOKUP(E41,'4.Fatores Conversão'!$A$15:$B$21,2,0),"")</f>
        <v/>
      </c>
      <c r="K41" s="126" t="str">
        <f>IF(A41&gt;0,'4.Fatores Conversão'!$A$3,"")</f>
        <v/>
      </c>
      <c r="L41" s="146"/>
      <c r="M41" s="119" t="s">
        <v>20</v>
      </c>
      <c r="N41" s="127">
        <f>IFERROR(F41*(L41/100)*'4.Fatores Conversão'!$B$3,"")</f>
        <v>0</v>
      </c>
      <c r="O41" s="128">
        <f>IFERROR(N41*'4.Fatores Conversão'!$B$15,"")</f>
        <v>0</v>
      </c>
    </row>
    <row r="42" spans="1:15" s="26" customFormat="1" outlineLevel="2" x14ac:dyDescent="0.25">
      <c r="A42" s="38"/>
      <c r="B42" s="61"/>
      <c r="C42" s="61"/>
      <c r="D42" s="61"/>
      <c r="E42" s="62"/>
      <c r="F42" s="39"/>
      <c r="G42" s="39"/>
      <c r="H42" s="119" t="str">
        <f>IFERROR(VLOOKUP(E42,'4.Fatores Conversão'!$I$1:$J$4,2,0),"")</f>
        <v/>
      </c>
      <c r="I42" s="120" t="str" cm="1">
        <f t="array" ref="I42">IFERROR(_xlfn.IFS(E42="Eletricidade",ROUND((G42/100)*F42*VLOOKUP(E42,'4.Fatores Conversão'!$A$3:$B$9,2,0)/1000000,2),E42="Hidrogénio",ROUND((G42/100)*F42*VLOOKUP(E42,'4.Fatores Conversão'!$A$3:$B$9,2,0),2)),"")</f>
        <v/>
      </c>
      <c r="J42" s="121" t="str">
        <f>IFERROR(I42*VLOOKUP(E42,'4.Fatores Conversão'!$A$15:$B$21,2,0),"")</f>
        <v/>
      </c>
      <c r="K42" s="126" t="str">
        <f>IF(A42&gt;0,'4.Fatores Conversão'!$A$3,"")</f>
        <v/>
      </c>
      <c r="L42" s="146"/>
      <c r="M42" s="119" t="s">
        <v>20</v>
      </c>
      <c r="N42" s="127">
        <f>IFERROR(F42*(L42/100)*'4.Fatores Conversão'!$B$3,"")</f>
        <v>0</v>
      </c>
      <c r="O42" s="128">
        <f>IFERROR(N42*'4.Fatores Conversão'!$B$15,"")</f>
        <v>0</v>
      </c>
    </row>
    <row r="43" spans="1:15" s="26" customFormat="1" outlineLevel="2" x14ac:dyDescent="0.25">
      <c r="A43" s="38"/>
      <c r="B43" s="61"/>
      <c r="C43" s="61"/>
      <c r="D43" s="61"/>
      <c r="E43" s="62"/>
      <c r="F43" s="39"/>
      <c r="G43" s="39"/>
      <c r="H43" s="119" t="str">
        <f>IFERROR(VLOOKUP(E43,'4.Fatores Conversão'!$I$1:$J$4,2,0),"")</f>
        <v/>
      </c>
      <c r="I43" s="120" t="str" cm="1">
        <f t="array" ref="I43">IFERROR(_xlfn.IFS(E43="Eletricidade",ROUND((G43/100)*F43*VLOOKUP(E43,'4.Fatores Conversão'!$A$3:$B$9,2,0)/1000000,2),E43="Hidrogénio",ROUND((G43/100)*F43*VLOOKUP(E43,'4.Fatores Conversão'!$A$3:$B$9,2,0),2)),"")</f>
        <v/>
      </c>
      <c r="J43" s="121" t="str">
        <f>IFERROR(I43*VLOOKUP(E43,'4.Fatores Conversão'!$A$15:$B$21,2,0),"")</f>
        <v/>
      </c>
      <c r="K43" s="126" t="str">
        <f>IF(A43&gt;0,'4.Fatores Conversão'!$A$3,"")</f>
        <v/>
      </c>
      <c r="L43" s="146"/>
      <c r="M43" s="119" t="s">
        <v>20</v>
      </c>
      <c r="N43" s="127">
        <f>IFERROR(F43*(L43/100)*'4.Fatores Conversão'!$B$3,"")</f>
        <v>0</v>
      </c>
      <c r="O43" s="128">
        <f>IFERROR(N43*'4.Fatores Conversão'!$B$15,"")</f>
        <v>0</v>
      </c>
    </row>
    <row r="44" spans="1:15" s="26" customFormat="1" outlineLevel="2" x14ac:dyDescent="0.25">
      <c r="A44" s="38"/>
      <c r="B44" s="61"/>
      <c r="C44" s="61"/>
      <c r="D44" s="61"/>
      <c r="E44" s="62"/>
      <c r="F44" s="39"/>
      <c r="G44" s="39"/>
      <c r="H44" s="119" t="str">
        <f>IFERROR(VLOOKUP(E44,'4.Fatores Conversão'!$I$1:$J$4,2,0),"")</f>
        <v/>
      </c>
      <c r="I44" s="120" t="str" cm="1">
        <f t="array" ref="I44">IFERROR(_xlfn.IFS(E44="Eletricidade",ROUND((G44/100)*F44*VLOOKUP(E44,'4.Fatores Conversão'!$A$3:$B$9,2,0)/1000000,2),E44="Hidrogénio",ROUND((G44/100)*F44*VLOOKUP(E44,'4.Fatores Conversão'!$A$3:$B$9,2,0),2)),"")</f>
        <v/>
      </c>
      <c r="J44" s="121" t="str">
        <f>IFERROR(I44*VLOOKUP(E44,'4.Fatores Conversão'!$A$15:$B$21,2,0),"")</f>
        <v/>
      </c>
      <c r="K44" s="126" t="str">
        <f>IF(A44&gt;0,'4.Fatores Conversão'!$A$3,"")</f>
        <v/>
      </c>
      <c r="L44" s="146"/>
      <c r="M44" s="119" t="s">
        <v>20</v>
      </c>
      <c r="N44" s="127">
        <f>IFERROR(F44*(L44/100)*'4.Fatores Conversão'!$B$3,"")</f>
        <v>0</v>
      </c>
      <c r="O44" s="128">
        <f>IFERROR(N44*'4.Fatores Conversão'!$B$15,"")</f>
        <v>0</v>
      </c>
    </row>
    <row r="45" spans="1:15" s="26" customFormat="1" outlineLevel="2" x14ac:dyDescent="0.25">
      <c r="A45" s="38"/>
      <c r="B45" s="61"/>
      <c r="C45" s="61"/>
      <c r="D45" s="61"/>
      <c r="E45" s="62"/>
      <c r="F45" s="39"/>
      <c r="G45" s="39"/>
      <c r="H45" s="119" t="str">
        <f>IFERROR(VLOOKUP(E45,'4.Fatores Conversão'!$I$1:$J$4,2,0),"")</f>
        <v/>
      </c>
      <c r="I45" s="120" t="str" cm="1">
        <f t="array" ref="I45">IFERROR(_xlfn.IFS(E45="Eletricidade",ROUND((G45/100)*F45*VLOOKUP(E45,'4.Fatores Conversão'!$A$3:$B$9,2,0)/1000000,2),E45="Hidrogénio",ROUND((G45/100)*F45*VLOOKUP(E45,'4.Fatores Conversão'!$A$3:$B$9,2,0),2)),"")</f>
        <v/>
      </c>
      <c r="J45" s="121" t="str">
        <f>IFERROR(I45*VLOOKUP(E45,'4.Fatores Conversão'!$A$15:$B$21,2,0),"")</f>
        <v/>
      </c>
      <c r="K45" s="126" t="str">
        <f>IF(A45&gt;0,'4.Fatores Conversão'!$A$3,"")</f>
        <v/>
      </c>
      <c r="L45" s="146"/>
      <c r="M45" s="119" t="s">
        <v>20</v>
      </c>
      <c r="N45" s="127">
        <f>IFERROR(F45*(L45/100)*'4.Fatores Conversão'!$B$3,"")</f>
        <v>0</v>
      </c>
      <c r="O45" s="128">
        <f>IFERROR(N45*'4.Fatores Conversão'!$B$15,"")</f>
        <v>0</v>
      </c>
    </row>
    <row r="46" spans="1:15" s="26" customFormat="1" outlineLevel="2" x14ac:dyDescent="0.25">
      <c r="A46" s="38"/>
      <c r="B46" s="61"/>
      <c r="C46" s="61"/>
      <c r="D46" s="61"/>
      <c r="E46" s="62"/>
      <c r="F46" s="39"/>
      <c r="G46" s="39"/>
      <c r="H46" s="119" t="str">
        <f>IFERROR(VLOOKUP(E46,'4.Fatores Conversão'!$I$1:$J$4,2,0),"")</f>
        <v/>
      </c>
      <c r="I46" s="120" t="str" cm="1">
        <f t="array" ref="I46">IFERROR(_xlfn.IFS(E46="Eletricidade",ROUND((G46/100)*F46*VLOOKUP(E46,'4.Fatores Conversão'!$A$3:$B$9,2,0)/1000000,2),E46="Hidrogénio",ROUND((G46/100)*F46*VLOOKUP(E46,'4.Fatores Conversão'!$A$3:$B$9,2,0),2)),"")</f>
        <v/>
      </c>
      <c r="J46" s="121" t="str">
        <f>IFERROR(I46*VLOOKUP(E46,'4.Fatores Conversão'!$A$15:$B$21,2,0),"")</f>
        <v/>
      </c>
      <c r="K46" s="126" t="str">
        <f>IF(A46&gt;0,'4.Fatores Conversão'!$A$3,"")</f>
        <v/>
      </c>
      <c r="L46" s="146"/>
      <c r="M46" s="119" t="s">
        <v>20</v>
      </c>
      <c r="N46" s="127">
        <f>IFERROR(F46*(L46/100)*'4.Fatores Conversão'!$B$3,"")</f>
        <v>0</v>
      </c>
      <c r="O46" s="128">
        <f>IFERROR(N46*'4.Fatores Conversão'!$B$15,"")</f>
        <v>0</v>
      </c>
    </row>
    <row r="47" spans="1:15" s="26" customFormat="1" outlineLevel="2" x14ac:dyDescent="0.25">
      <c r="A47" s="38"/>
      <c r="B47" s="61"/>
      <c r="C47" s="61"/>
      <c r="D47" s="61"/>
      <c r="E47" s="62"/>
      <c r="F47" s="39"/>
      <c r="G47" s="39"/>
      <c r="H47" s="119" t="str">
        <f>IFERROR(VLOOKUP(E47,'4.Fatores Conversão'!$I$1:$J$4,2,0),"")</f>
        <v/>
      </c>
      <c r="I47" s="120" t="str" cm="1">
        <f t="array" ref="I47">IFERROR(_xlfn.IFS(E47="Eletricidade",ROUND((G47/100)*F47*VLOOKUP(E47,'4.Fatores Conversão'!$A$3:$B$9,2,0)/1000000,2),E47="Hidrogénio",ROUND((G47/100)*F47*VLOOKUP(E47,'4.Fatores Conversão'!$A$3:$B$9,2,0),2)),"")</f>
        <v/>
      </c>
      <c r="J47" s="121" t="str">
        <f>IFERROR(I47*VLOOKUP(E47,'4.Fatores Conversão'!$A$15:$B$21,2,0),"")</f>
        <v/>
      </c>
      <c r="K47" s="126" t="str">
        <f>IF(A47&gt;0,'4.Fatores Conversão'!$A$3,"")</f>
        <v/>
      </c>
      <c r="L47" s="146"/>
      <c r="M47" s="119" t="s">
        <v>20</v>
      </c>
      <c r="N47" s="127">
        <f>IFERROR(F47*(L47/100)*'4.Fatores Conversão'!$B$3,"")</f>
        <v>0</v>
      </c>
      <c r="O47" s="128">
        <f>IFERROR(N47*'4.Fatores Conversão'!$B$15,"")</f>
        <v>0</v>
      </c>
    </row>
    <row r="48" spans="1:15" s="26" customFormat="1" outlineLevel="2" x14ac:dyDescent="0.25">
      <c r="A48" s="38"/>
      <c r="B48" s="61"/>
      <c r="C48" s="61"/>
      <c r="D48" s="61"/>
      <c r="E48" s="62"/>
      <c r="F48" s="39"/>
      <c r="G48" s="39"/>
      <c r="H48" s="119" t="str">
        <f>IFERROR(VLOOKUP(E48,'4.Fatores Conversão'!$I$1:$J$4,2,0),"")</f>
        <v/>
      </c>
      <c r="I48" s="120" t="str" cm="1">
        <f t="array" ref="I48">IFERROR(_xlfn.IFS(E48="Eletricidade",ROUND((G48/100)*F48*VLOOKUP(E48,'4.Fatores Conversão'!$A$3:$B$9,2,0)/1000000,2),E48="Hidrogénio",ROUND((G48/100)*F48*VLOOKUP(E48,'4.Fatores Conversão'!$A$3:$B$9,2,0),2)),"")</f>
        <v/>
      </c>
      <c r="J48" s="121" t="str">
        <f>IFERROR(I48*VLOOKUP(E48,'4.Fatores Conversão'!$A$15:$B$21,2,0),"")</f>
        <v/>
      </c>
      <c r="K48" s="126" t="str">
        <f>IF(A48&gt;0,'4.Fatores Conversão'!$A$3,"")</f>
        <v/>
      </c>
      <c r="L48" s="146"/>
      <c r="M48" s="119" t="s">
        <v>20</v>
      </c>
      <c r="N48" s="127">
        <f>IFERROR(F48*(L48/100)*'4.Fatores Conversão'!$B$3,"")</f>
        <v>0</v>
      </c>
      <c r="O48" s="128">
        <f>IFERROR(N48*'4.Fatores Conversão'!$B$15,"")</f>
        <v>0</v>
      </c>
    </row>
    <row r="49" spans="1:15" s="26" customFormat="1" outlineLevel="2" x14ac:dyDescent="0.25">
      <c r="A49" s="38"/>
      <c r="B49" s="61"/>
      <c r="C49" s="61"/>
      <c r="D49" s="61"/>
      <c r="E49" s="62"/>
      <c r="F49" s="39"/>
      <c r="G49" s="39"/>
      <c r="H49" s="119" t="str">
        <f>IFERROR(VLOOKUP(E49,'4.Fatores Conversão'!$I$1:$J$4,2,0),"")</f>
        <v/>
      </c>
      <c r="I49" s="120" t="str" cm="1">
        <f t="array" ref="I49">IFERROR(_xlfn.IFS(E49="Eletricidade",ROUND((G49/100)*F49*VLOOKUP(E49,'4.Fatores Conversão'!$A$3:$B$9,2,0)/1000000,2),E49="Hidrogénio",ROUND((G49/100)*F49*VLOOKUP(E49,'4.Fatores Conversão'!$A$3:$B$9,2,0),2)),"")</f>
        <v/>
      </c>
      <c r="J49" s="121" t="str">
        <f>IFERROR(I49*VLOOKUP(E49,'4.Fatores Conversão'!$A$15:$B$21,2,0),"")</f>
        <v/>
      </c>
      <c r="K49" s="126" t="str">
        <f>IF(A49&gt;0,'4.Fatores Conversão'!$A$3,"")</f>
        <v/>
      </c>
      <c r="L49" s="146"/>
      <c r="M49" s="119" t="s">
        <v>20</v>
      </c>
      <c r="N49" s="127">
        <f>IFERROR(F49*(L49/100)*'4.Fatores Conversão'!$B$3,"")</f>
        <v>0</v>
      </c>
      <c r="O49" s="128">
        <f>IFERROR(N49*'4.Fatores Conversão'!$B$15,"")</f>
        <v>0</v>
      </c>
    </row>
    <row r="50" spans="1:15" ht="12.6" thickBot="1" x14ac:dyDescent="0.3">
      <c r="A50" s="129">
        <f>SUM(A11:A49)</f>
        <v>0</v>
      </c>
      <c r="B50" s="130"/>
      <c r="C50" s="130"/>
      <c r="D50" s="130"/>
      <c r="E50" s="130"/>
      <c r="F50" s="130">
        <f>SUM(F11:F49)</f>
        <v>1000</v>
      </c>
      <c r="G50" s="130"/>
      <c r="H50" s="130"/>
      <c r="I50" s="130">
        <f>SUM(I11:I49)</f>
        <v>0</v>
      </c>
      <c r="J50" s="130">
        <f>SUM(J11:J49)</f>
        <v>0</v>
      </c>
      <c r="K50" s="131"/>
      <c r="L50" s="132"/>
      <c r="M50" s="132"/>
      <c r="N50" s="133">
        <f>SUM(N11:N49)</f>
        <v>0</v>
      </c>
      <c r="O50" s="134">
        <f>SUM(O11:O49)</f>
        <v>0</v>
      </c>
    </row>
    <row r="51" spans="1:15" x14ac:dyDescent="0.25">
      <c r="A51" s="94"/>
      <c r="B51" s="94" t="s">
        <v>41</v>
      </c>
      <c r="C51" s="94"/>
      <c r="D51" s="94"/>
      <c r="E51" s="94"/>
      <c r="F51" s="106"/>
      <c r="G51" s="107"/>
      <c r="H51" s="107"/>
      <c r="I51" s="109"/>
      <c r="J51" s="109"/>
      <c r="K51" s="94"/>
      <c r="L51" s="94"/>
      <c r="M51" s="94"/>
      <c r="N51" s="94"/>
      <c r="O51" s="94"/>
    </row>
    <row r="52" spans="1:15" ht="27" customHeight="1" x14ac:dyDescent="0.25">
      <c r="A52" s="103" t="s">
        <v>92</v>
      </c>
      <c r="B52" s="94"/>
      <c r="C52" s="147"/>
      <c r="D52" s="94"/>
      <c r="E52" s="94"/>
      <c r="F52" s="106"/>
      <c r="G52" s="107"/>
      <c r="H52" s="107"/>
      <c r="I52" s="109"/>
      <c r="J52" s="109"/>
      <c r="K52" s="94"/>
      <c r="L52" s="94"/>
      <c r="M52" s="94"/>
      <c r="N52" s="94"/>
      <c r="O52" s="94"/>
    </row>
    <row r="53" spans="1:15" x14ac:dyDescent="0.25">
      <c r="A53" s="94"/>
      <c r="B53" s="94"/>
      <c r="C53" s="94"/>
      <c r="D53" s="94"/>
      <c r="E53" s="94"/>
      <c r="F53" s="106"/>
      <c r="G53" s="107"/>
      <c r="H53" s="107"/>
      <c r="I53" s="109"/>
      <c r="J53" s="109"/>
      <c r="K53" s="94"/>
      <c r="L53" s="94"/>
      <c r="M53" s="94"/>
      <c r="N53" s="94"/>
      <c r="O53" s="94"/>
    </row>
    <row r="54" spans="1:15" ht="51" customHeight="1" x14ac:dyDescent="0.25">
      <c r="A54" s="135"/>
      <c r="B54" s="94"/>
      <c r="C54" s="94"/>
      <c r="D54" s="94"/>
      <c r="E54" s="152" t="s">
        <v>104</v>
      </c>
      <c r="F54" s="153"/>
      <c r="G54" s="107"/>
      <c r="H54" s="107"/>
      <c r="I54" s="109"/>
      <c r="J54" s="109"/>
      <c r="K54" s="94"/>
      <c r="L54" s="94"/>
      <c r="M54" s="94"/>
      <c r="N54" s="94"/>
      <c r="O54" s="94"/>
    </row>
    <row r="55" spans="1:15" ht="16.95" customHeight="1" x14ac:dyDescent="0.3">
      <c r="A55" s="149" t="s">
        <v>108</v>
      </c>
      <c r="B55" s="150"/>
      <c r="C55" s="150"/>
      <c r="D55" s="151"/>
      <c r="E55" s="154"/>
      <c r="F55" s="155"/>
      <c r="G55" s="107"/>
      <c r="H55" s="107"/>
      <c r="I55" s="109"/>
      <c r="J55" s="109"/>
      <c r="K55" s="94"/>
      <c r="L55" s="94"/>
      <c r="M55" s="94"/>
      <c r="N55" s="94"/>
      <c r="O55" s="94"/>
    </row>
    <row r="56" spans="1:15" ht="14.4" x14ac:dyDescent="0.3">
      <c r="A56" s="149" t="s">
        <v>102</v>
      </c>
      <c r="B56" s="150"/>
      <c r="C56" s="150"/>
      <c r="D56" s="151"/>
      <c r="E56" s="154"/>
      <c r="F56" s="155"/>
      <c r="G56" s="107"/>
      <c r="H56" s="107"/>
      <c r="I56" s="109"/>
      <c r="J56" s="109"/>
      <c r="K56" s="94"/>
      <c r="L56" s="94"/>
      <c r="M56" s="94"/>
      <c r="N56" s="94"/>
      <c r="O56" s="94"/>
    </row>
    <row r="57" spans="1:15" ht="14.4" x14ac:dyDescent="0.3">
      <c r="A57" s="149" t="s">
        <v>103</v>
      </c>
      <c r="B57" s="150"/>
      <c r="C57" s="150"/>
      <c r="D57" s="151"/>
      <c r="E57" s="154"/>
      <c r="F57" s="155"/>
      <c r="G57" s="107"/>
      <c r="H57" s="107"/>
      <c r="I57" s="109"/>
      <c r="J57" s="109"/>
      <c r="K57" s="94"/>
      <c r="L57" s="94"/>
      <c r="M57" s="94"/>
      <c r="N57" s="94"/>
      <c r="O57" s="94"/>
    </row>
    <row r="58" spans="1:15" x14ac:dyDescent="0.25">
      <c r="A58" s="94"/>
      <c r="B58" s="94"/>
      <c r="C58" s="94"/>
      <c r="D58" s="94"/>
      <c r="E58" s="94"/>
      <c r="F58" s="106"/>
      <c r="G58" s="107"/>
      <c r="H58" s="107"/>
      <c r="I58" s="109"/>
      <c r="J58" s="109"/>
      <c r="K58" s="94"/>
      <c r="L58" s="94"/>
      <c r="M58" s="94"/>
      <c r="N58" s="94"/>
      <c r="O58" s="94"/>
    </row>
    <row r="59" spans="1:15" x14ac:dyDescent="0.25">
      <c r="A59" s="94"/>
      <c r="B59" s="94"/>
      <c r="C59" s="94"/>
      <c r="D59" s="94"/>
      <c r="E59" s="94"/>
      <c r="F59" s="106"/>
      <c r="G59" s="107"/>
      <c r="H59" s="107"/>
      <c r="I59" s="109"/>
      <c r="J59" s="109"/>
      <c r="K59" s="94"/>
      <c r="L59" s="94"/>
      <c r="M59" s="94"/>
      <c r="N59" s="94"/>
      <c r="O59" s="94"/>
    </row>
    <row r="60" spans="1:15" x14ac:dyDescent="0.25">
      <c r="A60" s="136" t="s">
        <v>101</v>
      </c>
      <c r="B60" s="102"/>
      <c r="C60" s="102"/>
      <c r="D60" s="102"/>
      <c r="E60" s="102"/>
      <c r="F60" s="137"/>
      <c r="G60" s="102"/>
      <c r="H60" s="102"/>
      <c r="I60" s="138"/>
      <c r="J60" s="138"/>
      <c r="K60" s="102"/>
      <c r="L60" s="102"/>
      <c r="M60" s="102"/>
      <c r="N60" s="102"/>
      <c r="O60" s="102"/>
    </row>
    <row r="61" spans="1:15" x14ac:dyDescent="0.25">
      <c r="A61" s="94"/>
      <c r="B61" s="94"/>
      <c r="C61" s="94"/>
      <c r="D61" s="94"/>
      <c r="E61" s="94"/>
      <c r="F61" s="106"/>
      <c r="G61" s="107"/>
      <c r="H61" s="107"/>
      <c r="I61" s="109"/>
      <c r="J61" s="109"/>
      <c r="K61" s="94"/>
      <c r="L61" s="94"/>
      <c r="M61" s="94"/>
      <c r="N61" s="94"/>
      <c r="O61" s="94"/>
    </row>
    <row r="62" spans="1:15" x14ac:dyDescent="0.25">
      <c r="A62" s="139" t="s">
        <v>97</v>
      </c>
      <c r="B62" s="139" t="s">
        <v>117</v>
      </c>
      <c r="C62" s="94"/>
      <c r="D62" s="94"/>
      <c r="E62" s="94"/>
      <c r="F62" s="106"/>
      <c r="G62" s="107"/>
      <c r="H62" s="107"/>
      <c r="I62" s="109"/>
      <c r="J62" s="109"/>
      <c r="K62" s="94"/>
      <c r="L62" s="94"/>
      <c r="M62" s="94"/>
      <c r="N62" s="94"/>
      <c r="O62" s="94"/>
    </row>
    <row r="63" spans="1:15" x14ac:dyDescent="0.25">
      <c r="A63" s="140" t="s">
        <v>34</v>
      </c>
      <c r="B63" s="148"/>
      <c r="C63" s="94"/>
      <c r="D63" s="94"/>
      <c r="E63" s="94"/>
      <c r="F63" s="106"/>
      <c r="G63" s="107"/>
      <c r="H63" s="107"/>
      <c r="I63" s="109"/>
      <c r="J63" s="109"/>
      <c r="K63" s="94"/>
      <c r="L63" s="94"/>
      <c r="M63" s="94"/>
      <c r="N63" s="94"/>
      <c r="O63" s="94"/>
    </row>
    <row r="64" spans="1:15" x14ac:dyDescent="0.25">
      <c r="A64" s="140" t="s">
        <v>36</v>
      </c>
      <c r="B64" s="148"/>
      <c r="C64" s="94"/>
      <c r="D64" s="94"/>
      <c r="E64" s="94"/>
      <c r="F64" s="106"/>
      <c r="G64" s="107"/>
      <c r="H64" s="107"/>
      <c r="I64" s="109"/>
      <c r="J64" s="109"/>
      <c r="K64" s="94"/>
      <c r="L64" s="94"/>
      <c r="M64" s="94"/>
      <c r="N64" s="94"/>
      <c r="O64" s="94"/>
    </row>
    <row r="65" spans="1:15" x14ac:dyDescent="0.25">
      <c r="A65" s="94"/>
      <c r="B65" s="94"/>
      <c r="C65" s="94"/>
      <c r="D65" s="94"/>
      <c r="E65" s="94"/>
      <c r="F65" s="106"/>
      <c r="G65" s="107"/>
      <c r="H65" s="107"/>
      <c r="I65" s="109"/>
      <c r="J65" s="109"/>
      <c r="K65" s="94"/>
      <c r="L65" s="94"/>
      <c r="M65" s="94"/>
      <c r="N65" s="94"/>
      <c r="O65" s="94"/>
    </row>
    <row r="66" spans="1:15" x14ac:dyDescent="0.25">
      <c r="A66" s="94" t="s">
        <v>118</v>
      </c>
      <c r="B66" s="94"/>
      <c r="C66" s="94"/>
      <c r="D66" s="94"/>
      <c r="E66" s="94"/>
      <c r="F66" s="106"/>
      <c r="G66" s="107"/>
      <c r="H66" s="107"/>
      <c r="I66" s="109"/>
      <c r="J66" s="109"/>
      <c r="K66" s="94"/>
      <c r="L66" s="94"/>
      <c r="M66" s="94"/>
      <c r="N66" s="94"/>
      <c r="O66" s="94"/>
    </row>
    <row r="67" spans="1:15" x14ac:dyDescent="0.25">
      <c r="A67" s="141"/>
      <c r="B67" s="94"/>
      <c r="C67" s="94"/>
      <c r="D67" s="94"/>
      <c r="E67" s="94"/>
      <c r="F67" s="106"/>
      <c r="G67" s="107"/>
      <c r="H67" s="107"/>
      <c r="I67" s="109"/>
      <c r="J67" s="109"/>
      <c r="K67" s="94"/>
      <c r="L67" s="94"/>
      <c r="M67" s="94"/>
      <c r="N67" s="94"/>
      <c r="O67" s="94"/>
    </row>
    <row r="68" spans="1:15" x14ac:dyDescent="0.25">
      <c r="A68" s="107"/>
      <c r="B68" s="107"/>
      <c r="C68" s="107"/>
      <c r="D68" s="107"/>
      <c r="E68" s="107"/>
      <c r="F68" s="106"/>
      <c r="G68" s="107"/>
      <c r="H68" s="107"/>
      <c r="I68" s="109"/>
      <c r="J68" s="109"/>
      <c r="K68" s="94"/>
      <c r="L68" s="94"/>
      <c r="M68" s="94"/>
      <c r="N68" s="94"/>
      <c r="O68" s="94"/>
    </row>
    <row r="69" spans="1:15" x14ac:dyDescent="0.25">
      <c r="A69" s="107"/>
      <c r="B69" s="107"/>
      <c r="C69" s="107"/>
      <c r="D69" s="107"/>
      <c r="E69" s="107"/>
      <c r="F69" s="106"/>
      <c r="G69" s="107"/>
      <c r="H69" s="107"/>
      <c r="I69" s="109"/>
      <c r="J69" s="109"/>
      <c r="K69" s="94"/>
      <c r="L69" s="94"/>
      <c r="M69" s="94"/>
      <c r="N69" s="94"/>
      <c r="O69" s="94"/>
    </row>
    <row r="70" spans="1:15" x14ac:dyDescent="0.25">
      <c r="A70" s="107"/>
      <c r="B70" s="107"/>
      <c r="C70" s="107"/>
      <c r="D70" s="107"/>
      <c r="E70" s="107"/>
      <c r="F70" s="106"/>
      <c r="G70" s="107"/>
      <c r="H70" s="107"/>
      <c r="I70" s="109"/>
      <c r="J70" s="109"/>
      <c r="K70" s="94"/>
      <c r="L70" s="94"/>
      <c r="M70" s="94"/>
      <c r="N70" s="94"/>
      <c r="O70" s="94"/>
    </row>
    <row r="71" spans="1:15" x14ac:dyDescent="0.25">
      <c r="A71" s="107"/>
      <c r="B71" s="107"/>
      <c r="C71" s="107"/>
      <c r="D71" s="107"/>
      <c r="E71" s="107"/>
      <c r="F71" s="106"/>
      <c r="G71" s="107"/>
      <c r="H71" s="107"/>
      <c r="I71" s="109"/>
      <c r="J71" s="109"/>
      <c r="K71" s="94"/>
      <c r="L71" s="94"/>
      <c r="M71" s="94"/>
      <c r="N71" s="94"/>
      <c r="O71" s="94"/>
    </row>
    <row r="72" spans="1:15" x14ac:dyDescent="0.25">
      <c r="A72" s="107"/>
      <c r="B72" s="107"/>
      <c r="C72" s="142"/>
      <c r="D72" s="107"/>
      <c r="E72" s="107"/>
      <c r="F72" s="107"/>
      <c r="G72" s="107"/>
      <c r="H72" s="107"/>
      <c r="I72" s="107"/>
      <c r="J72" s="94"/>
      <c r="K72" s="94"/>
      <c r="L72" s="94"/>
      <c r="M72" s="94"/>
      <c r="N72" s="94"/>
      <c r="O72" s="94"/>
    </row>
    <row r="73" spans="1:15" x14ac:dyDescent="0.25">
      <c r="A73" s="107"/>
      <c r="B73" s="107"/>
      <c r="C73" s="143"/>
      <c r="D73" s="107"/>
      <c r="E73" s="107"/>
      <c r="F73" s="107"/>
      <c r="G73" s="107"/>
      <c r="H73" s="107"/>
      <c r="I73" s="107"/>
      <c r="J73" s="94"/>
      <c r="K73" s="94"/>
      <c r="L73" s="94"/>
      <c r="M73" s="94"/>
      <c r="N73" s="94"/>
      <c r="O73" s="94"/>
    </row>
    <row r="74" spans="1:15" x14ac:dyDescent="0.25">
      <c r="A74" s="107"/>
      <c r="B74" s="107"/>
      <c r="C74" s="143"/>
      <c r="D74" s="107"/>
      <c r="E74" s="107"/>
      <c r="F74" s="107"/>
      <c r="G74" s="107"/>
      <c r="H74" s="107"/>
      <c r="I74" s="107"/>
      <c r="J74" s="94"/>
      <c r="K74" s="94"/>
      <c r="L74" s="94"/>
      <c r="M74" s="94"/>
      <c r="N74" s="94"/>
      <c r="O74" s="94"/>
    </row>
    <row r="75" spans="1:15" x14ac:dyDescent="0.25">
      <c r="A75" s="107"/>
      <c r="B75" s="107"/>
      <c r="C75" s="143"/>
      <c r="D75" s="107"/>
      <c r="E75" s="107"/>
      <c r="F75" s="107"/>
      <c r="G75" s="107"/>
      <c r="H75" s="107"/>
      <c r="I75" s="107"/>
      <c r="J75" s="94"/>
      <c r="K75" s="94"/>
      <c r="L75" s="94"/>
      <c r="M75" s="94"/>
      <c r="N75" s="94"/>
      <c r="O75" s="94"/>
    </row>
    <row r="76" spans="1:15" x14ac:dyDescent="0.25">
      <c r="A76" s="107"/>
      <c r="B76" s="107"/>
      <c r="C76" s="143"/>
      <c r="D76" s="107"/>
      <c r="E76" s="107"/>
      <c r="F76" s="107"/>
      <c r="G76" s="107"/>
      <c r="H76" s="107"/>
      <c r="I76" s="107"/>
      <c r="J76" s="94"/>
      <c r="K76" s="94"/>
      <c r="L76" s="94"/>
      <c r="M76" s="94"/>
      <c r="N76" s="94"/>
      <c r="O76" s="94"/>
    </row>
    <row r="77" spans="1:15" x14ac:dyDescent="0.25">
      <c r="A77" s="107"/>
      <c r="B77" s="107"/>
      <c r="C77" s="144"/>
      <c r="D77" s="107"/>
      <c r="E77" s="107"/>
      <c r="F77" s="107"/>
      <c r="G77" s="107"/>
      <c r="H77" s="107"/>
      <c r="I77" s="107"/>
      <c r="J77" s="94"/>
      <c r="K77" s="94"/>
      <c r="L77" s="94"/>
      <c r="M77" s="94"/>
      <c r="N77" s="94"/>
      <c r="O77" s="94"/>
    </row>
    <row r="78" spans="1:15" x14ac:dyDescent="0.25">
      <c r="A78" s="23"/>
      <c r="B78" s="23"/>
      <c r="C78" s="85"/>
      <c r="D78" s="23"/>
      <c r="E78" s="23"/>
      <c r="F78" s="23"/>
      <c r="G78" s="23"/>
      <c r="H78" s="23"/>
      <c r="I78" s="23"/>
    </row>
    <row r="79" spans="1:15" x14ac:dyDescent="0.25">
      <c r="A79" s="23"/>
      <c r="B79" s="23"/>
      <c r="C79" s="85"/>
      <c r="D79" s="23"/>
      <c r="E79" s="23"/>
      <c r="F79" s="23"/>
      <c r="G79" s="23"/>
      <c r="H79" s="23"/>
      <c r="I79" s="23"/>
    </row>
    <row r="80" spans="1:15" x14ac:dyDescent="0.25">
      <c r="A80" s="23"/>
      <c r="B80" s="23"/>
      <c r="C80" s="85"/>
      <c r="D80" s="23"/>
      <c r="E80" s="23"/>
      <c r="F80" s="23"/>
      <c r="G80" s="23"/>
      <c r="H80" s="23"/>
      <c r="I80" s="23"/>
    </row>
    <row r="81" spans="1:9" x14ac:dyDescent="0.25">
      <c r="A81" s="23"/>
      <c r="B81" s="23"/>
      <c r="C81" s="23"/>
      <c r="D81" s="23"/>
      <c r="E81" s="23"/>
      <c r="F81" s="23"/>
      <c r="G81" s="23"/>
      <c r="H81" s="23"/>
      <c r="I81" s="23"/>
    </row>
    <row r="82" spans="1:9" x14ac:dyDescent="0.25">
      <c r="A82" s="23"/>
      <c r="B82" s="23"/>
      <c r="C82" s="23"/>
      <c r="D82" s="23"/>
      <c r="E82" s="23"/>
      <c r="F82" s="23"/>
      <c r="G82" s="23"/>
      <c r="H82" s="23"/>
      <c r="I82" s="23"/>
    </row>
    <row r="83" spans="1:9" ht="14.4" x14ac:dyDescent="0.3">
      <c r="A83" s="23"/>
      <c r="B83" s="86"/>
      <c r="C83" s="23"/>
      <c r="D83" s="23"/>
      <c r="E83" s="23"/>
      <c r="F83" s="23"/>
      <c r="G83" s="23"/>
      <c r="H83" s="23"/>
      <c r="I83" s="23"/>
    </row>
    <row r="84" spans="1:9" ht="14.4" x14ac:dyDescent="0.3">
      <c r="A84" s="23"/>
      <c r="B84" s="86"/>
      <c r="C84" s="23"/>
      <c r="D84" s="23"/>
      <c r="E84" s="23"/>
      <c r="F84" s="23"/>
      <c r="G84" s="23"/>
      <c r="H84" s="23"/>
      <c r="I84" s="23"/>
    </row>
    <row r="85" spans="1:9" x14ac:dyDescent="0.25">
      <c r="A85" s="23"/>
      <c r="B85" s="23"/>
      <c r="C85" s="23"/>
      <c r="D85" s="23"/>
      <c r="E85" s="23"/>
      <c r="F85" s="23"/>
      <c r="G85" s="23"/>
      <c r="H85" s="23"/>
      <c r="I85" s="23"/>
    </row>
    <row r="86" spans="1:9" x14ac:dyDescent="0.25">
      <c r="A86" s="23"/>
      <c r="B86" s="23"/>
      <c r="C86" s="23"/>
      <c r="D86" s="23"/>
      <c r="E86" s="23"/>
      <c r="F86" s="23"/>
      <c r="G86" s="23"/>
      <c r="H86" s="23"/>
      <c r="I86" s="23"/>
    </row>
    <row r="87" spans="1:9" x14ac:dyDescent="0.25">
      <c r="A87" s="23"/>
      <c r="B87" s="23"/>
      <c r="C87" s="23"/>
      <c r="D87" s="23"/>
      <c r="E87" s="23"/>
      <c r="F87" s="23"/>
      <c r="G87" s="23"/>
      <c r="H87" s="23"/>
      <c r="I87" s="23"/>
    </row>
    <row r="88" spans="1:9" x14ac:dyDescent="0.25">
      <c r="A88" s="23"/>
      <c r="B88" s="23"/>
      <c r="C88" s="23"/>
      <c r="D88" s="23"/>
      <c r="E88" s="23"/>
      <c r="F88" s="23"/>
      <c r="G88" s="23"/>
      <c r="H88" s="23"/>
      <c r="I88" s="23"/>
    </row>
    <row r="99" spans="1:9" x14ac:dyDescent="0.25">
      <c r="A99" s="13"/>
      <c r="B99" s="13"/>
      <c r="C99" s="13"/>
      <c r="D99" s="13"/>
      <c r="E99" s="13"/>
      <c r="F99" s="27"/>
      <c r="G99" s="30"/>
      <c r="H99" s="31"/>
      <c r="I99" s="30"/>
    </row>
    <row r="100" spans="1:9" x14ac:dyDescent="0.25">
      <c r="A100" s="13"/>
      <c r="B100" s="13"/>
      <c r="C100" s="13"/>
      <c r="D100" s="13"/>
      <c r="E100" s="13"/>
      <c r="F100" s="27"/>
      <c r="G100" s="30"/>
      <c r="H100" s="31"/>
      <c r="I100" s="30"/>
    </row>
    <row r="101" spans="1:9" x14ac:dyDescent="0.25">
      <c r="A101" s="13"/>
      <c r="B101" s="13"/>
      <c r="C101" s="13"/>
      <c r="D101" s="13"/>
      <c r="E101" s="13"/>
      <c r="F101" s="32"/>
      <c r="G101" s="30"/>
      <c r="H101" s="33"/>
      <c r="I101" s="30"/>
    </row>
    <row r="102" spans="1:9" x14ac:dyDescent="0.25">
      <c r="A102" s="13"/>
      <c r="B102" s="13"/>
      <c r="C102" s="13"/>
      <c r="D102" s="13"/>
      <c r="E102" s="13"/>
      <c r="F102" s="32"/>
      <c r="G102" s="34"/>
      <c r="H102" s="33"/>
      <c r="I102" s="30"/>
    </row>
    <row r="103" spans="1:9" x14ac:dyDescent="0.25">
      <c r="A103" s="13"/>
      <c r="B103" s="13"/>
      <c r="C103" s="13"/>
      <c r="D103" s="13"/>
      <c r="E103" s="13"/>
      <c r="F103" s="32"/>
      <c r="H103" s="25"/>
    </row>
    <row r="125" spans="1:6" x14ac:dyDescent="0.25">
      <c r="A125" s="13"/>
      <c r="B125" s="13"/>
      <c r="C125" s="13"/>
      <c r="D125" s="13"/>
      <c r="E125" s="13"/>
      <c r="F125" s="19"/>
    </row>
    <row r="126" spans="1:6" x14ac:dyDescent="0.25">
      <c r="A126" s="19"/>
      <c r="B126" s="19"/>
      <c r="C126" s="19"/>
      <c r="D126" s="19"/>
      <c r="E126" s="19"/>
    </row>
  </sheetData>
  <sheetProtection algorithmName="SHA-512" hashValue="jOdGlRBbrXv//cm1xB+6gF4rIAlIpL2Hx3sfE36SY/CqdEllGea87jzo39a/zj1flwXtQbPQBVYyCbkXJ7SeFw==" saltValue="/ecQwDeZOv5ztiT9zD+nbQ==" spinCount="100000" sheet="1" objects="1" scenarios="1"/>
  <mergeCells count="17">
    <mergeCell ref="K8:O8"/>
    <mergeCell ref="K9:K10"/>
    <mergeCell ref="G9:H9"/>
    <mergeCell ref="L9:M9"/>
    <mergeCell ref="A9:A10"/>
    <mergeCell ref="B9:B10"/>
    <mergeCell ref="E9:E10"/>
    <mergeCell ref="A8:J8"/>
    <mergeCell ref="C9:C10"/>
    <mergeCell ref="D9:D10"/>
    <mergeCell ref="A55:D55"/>
    <mergeCell ref="A56:D56"/>
    <mergeCell ref="A57:D57"/>
    <mergeCell ref="E54:F54"/>
    <mergeCell ref="E55:F55"/>
    <mergeCell ref="E56:F56"/>
    <mergeCell ref="E57:F57"/>
  </mergeCells>
  <dataValidations disablePrompts="1" count="1">
    <dataValidation type="list" allowBlank="1" showInputMessage="1" showErrorMessage="1" sqref="A8" xr:uid="{F92CBA87-ED04-4C0A-B848-C96AC6C84EDD}">
      <formula1>ListaE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 xr:uid="{D943EA30-0CD5-4A44-B01C-52AAA8E02007}">
          <x14:formula1>
            <xm:f>'4.Fatores Conversão'!$I$3:$I$3</xm:f>
          </x14:formula1>
          <xm:sqref>E5 E2</xm:sqref>
        </x14:dataValidation>
        <x14:dataValidation type="list" allowBlank="1" showInputMessage="1" showErrorMessage="1" xr:uid="{B24D05D1-CB8E-495A-9582-89EB8961556C}">
          <x14:formula1>
            <xm:f>'4.Fatores Conversão'!$I$3:$I$4</xm:f>
          </x14:formula1>
          <xm:sqref>E11:E49</xm:sqref>
        </x14:dataValidation>
        <x14:dataValidation type="list" allowBlank="1" showInputMessage="1" showErrorMessage="1" xr:uid="{4F6B168F-8A83-43E5-A84E-15004F565A74}">
          <x14:formula1>
            <xm:f>'4.Fatores Conversão'!$L$1:$L$2</xm:f>
          </x14:formula1>
          <xm:sqref>B11:B49</xm:sqref>
        </x14:dataValidation>
        <x14:dataValidation type="list" allowBlank="1" showInputMessage="1" showErrorMessage="1" xr:uid="{4E57C8E3-EB5F-451E-A015-6E28453FE639}">
          <x14:formula1>
            <xm:f>'4.Fatores Conversão'!$L$4:$L$8</xm:f>
          </x14:formula1>
          <xm:sqref>C11:C49</xm:sqref>
        </x14:dataValidation>
        <x14:dataValidation type="list" allowBlank="1" showInputMessage="1" showErrorMessage="1" xr:uid="{1C0D5FBC-23F7-421A-B98C-1D440E790160}">
          <x14:formula1>
            <xm:f>'4.Fatores Conversão'!$P$7:$P$9</xm:f>
          </x14:formula1>
          <xm:sqref>D11:D49</xm:sqref>
        </x14:dataValidation>
        <x14:dataValidation type="list" allowBlank="1" showInputMessage="1" showErrorMessage="1" xr:uid="{E267CBFE-CF47-4846-963F-B8D41DC6D358}">
          <x14:formula1>
            <xm:f>'4.Fatores Conversão'!$U$1:$U$17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4F9BD-25E4-4485-A3C1-EB9CE9612FAD}">
  <dimension ref="A1:G6"/>
  <sheetViews>
    <sheetView workbookViewId="0">
      <selection activeCell="G2" sqref="G2:G3"/>
    </sheetView>
  </sheetViews>
  <sheetFormatPr defaultColWidth="8.77734375" defaultRowHeight="12" x14ac:dyDescent="0.25"/>
  <cols>
    <col min="1" max="1" width="12" style="19" customWidth="1"/>
    <col min="2" max="2" width="27.33203125" style="19" customWidth="1"/>
    <col min="3" max="3" width="14.109375" style="19" customWidth="1"/>
    <col min="4" max="4" width="10.21875" style="19" customWidth="1"/>
    <col min="5" max="5" width="8.77734375" style="19"/>
    <col min="6" max="6" width="11.21875" style="19" customWidth="1"/>
    <col min="7" max="7" width="38" style="19" customWidth="1"/>
    <col min="8" max="16384" width="8.77734375" style="19"/>
  </cols>
  <sheetData>
    <row r="1" spans="1:7" ht="40.049999999999997" customHeight="1" x14ac:dyDescent="0.25">
      <c r="A1" s="36" t="s">
        <v>0</v>
      </c>
      <c r="B1" s="36" t="s">
        <v>1</v>
      </c>
      <c r="C1" s="79" t="s">
        <v>68</v>
      </c>
      <c r="D1" s="36" t="s">
        <v>2</v>
      </c>
      <c r="E1" s="36" t="s">
        <v>3</v>
      </c>
      <c r="F1" s="36" t="s">
        <v>105</v>
      </c>
    </row>
    <row r="2" spans="1:7" ht="40.049999999999997" customHeight="1" x14ac:dyDescent="0.25">
      <c r="A2" s="20" t="s">
        <v>4</v>
      </c>
      <c r="B2" s="20" t="s">
        <v>5</v>
      </c>
      <c r="C2" s="20" t="s">
        <v>70</v>
      </c>
      <c r="D2" s="40" t="s">
        <v>6</v>
      </c>
      <c r="E2" s="20">
        <v>0</v>
      </c>
      <c r="F2" s="21">
        <f>('1. Dados_Veículos_e_Postos Abas'!O50-'1. Dados_Veículos_e_Postos Abas'!J50)/1000</f>
        <v>0</v>
      </c>
      <c r="G2" s="167"/>
    </row>
    <row r="3" spans="1:7" ht="46.05" customHeight="1" x14ac:dyDescent="0.25">
      <c r="A3" s="20" t="s">
        <v>7</v>
      </c>
      <c r="B3" s="20" t="s">
        <v>8</v>
      </c>
      <c r="C3" s="20" t="s">
        <v>69</v>
      </c>
      <c r="D3" s="40" t="s">
        <v>9</v>
      </c>
      <c r="E3" s="20">
        <v>0</v>
      </c>
      <c r="F3" s="22">
        <f>'1. Dados_Veículos_e_Postos Abas'!N50-'1. Dados_Veículos_e_Postos Abas'!I50</f>
        <v>0</v>
      </c>
      <c r="G3" s="167"/>
    </row>
    <row r="4" spans="1:7" ht="40.049999999999997" customHeight="1" x14ac:dyDescent="0.25">
      <c r="A4" s="20" t="s">
        <v>64</v>
      </c>
      <c r="B4" s="20" t="s">
        <v>65</v>
      </c>
      <c r="C4" s="20" t="s">
        <v>70</v>
      </c>
      <c r="D4" s="41" t="s">
        <v>42</v>
      </c>
      <c r="E4" s="20">
        <v>0</v>
      </c>
      <c r="F4" s="20">
        <f>'1. Dados_Veículos_e_Postos Abas'!A50</f>
        <v>0</v>
      </c>
    </row>
    <row r="5" spans="1:7" ht="40.049999999999997" customHeight="1" x14ac:dyDescent="0.25">
      <c r="A5" s="20" t="s">
        <v>66</v>
      </c>
      <c r="B5" s="20" t="s">
        <v>67</v>
      </c>
      <c r="C5" s="20" t="s">
        <v>70</v>
      </c>
      <c r="D5" s="41" t="s">
        <v>42</v>
      </c>
      <c r="E5" s="20">
        <v>0</v>
      </c>
      <c r="F5" s="20">
        <f>'1. Dados_Veículos_e_Postos Abas'!B63+'1. Dados_Veículos_e_Postos Abas'!B64</f>
        <v>0</v>
      </c>
    </row>
    <row r="6" spans="1:7" ht="45" customHeight="1" x14ac:dyDescent="0.25">
      <c r="A6" s="20" t="s">
        <v>10</v>
      </c>
      <c r="B6" s="20" t="s">
        <v>11</v>
      </c>
      <c r="C6" s="20" t="s">
        <v>69</v>
      </c>
      <c r="D6" s="40" t="s">
        <v>12</v>
      </c>
      <c r="E6" s="20">
        <v>0</v>
      </c>
      <c r="F6" s="37" t="e">
        <f>('1. Dados_Veículos_e_Postos Abas'!N50-'1. Dados_Veículos_e_Postos Abas'!I50)/'1. Dados_Veículos_e_Postos Abas'!N50</f>
        <v>#DIV/0!</v>
      </c>
    </row>
  </sheetData>
  <sheetProtection algorithmName="SHA-512" hashValue="LgN6HFLq9GGF1VathlJpKYYvbkzQAFu3c+rf5iWHT/43nPcCk1kOeT1aQzIdTFhSVdZAi5l0w8xbls/BYIE6ow==" saltValue="R+0VlnXPs+HfMAJfgKdMvg==" spinCount="100000" sheet="1" objects="1" scenarios="1"/>
  <mergeCells count="1">
    <mergeCell ref="G2:G3"/>
  </mergeCells>
  <hyperlinks>
    <hyperlink ref="A1" r:id="rId1" display="javascript:__doPostBack('lc$dataGridEntities$_ctl2$_ctl6','')" xr:uid="{AB8C2C50-8BB2-4C92-A3A8-22124A816B31}"/>
    <hyperlink ref="B1" r:id="rId2" display="javascript:__doPostBack('lc$dataGridEntities$_ctl2$_ctl7','')" xr:uid="{D760B911-3EE8-4A09-940A-5EF4679D6C3A}"/>
    <hyperlink ref="D1" r:id="rId3" display="javascript:__doPostBack('lc$dataGridEntities$_ctl2$_ctl8','')" xr:uid="{52CB9EC5-76DD-4CA3-9053-38A752402D97}"/>
    <hyperlink ref="E1" r:id="rId4" display="javascript:__doPostBack('lc$dataGridEntities$_ctl2$_ctl9','')" xr:uid="{C97CDD06-AEA5-4FF2-831C-0F6992D59046}"/>
    <hyperlink ref="F1" r:id="rId5" display="javascript:__doPostBack('lc$dataGridEntities$_ctl2$_ctl10','')" xr:uid="{A50C7EAF-1F1D-4110-BB80-F56CE0D4DBBD}"/>
  </hyperlinks>
  <pageMargins left="0.7" right="0.7" top="0.75" bottom="0.75" header="0.3" footer="0.3"/>
  <pageSetup paperSize="9" orientation="portrait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432FF-74E6-4ED9-847D-EDCE2A8AAE81}">
  <dimension ref="A1:N23"/>
  <sheetViews>
    <sheetView topLeftCell="D1" zoomScale="70" zoomScaleNormal="70" workbookViewId="0">
      <selection activeCell="L8" sqref="L8"/>
    </sheetView>
  </sheetViews>
  <sheetFormatPr defaultColWidth="9.21875" defaultRowHeight="12" x14ac:dyDescent="0.25"/>
  <cols>
    <col min="1" max="1" width="5.44140625" style="47" customWidth="1"/>
    <col min="2" max="2" width="22.77734375" style="19" customWidth="1"/>
    <col min="3" max="3" width="29.5546875" style="19" customWidth="1"/>
    <col min="4" max="4" width="91.5546875" style="19" customWidth="1"/>
    <col min="5" max="5" width="24.21875" style="19" customWidth="1"/>
    <col min="6" max="6" width="18.77734375" style="19" customWidth="1"/>
    <col min="7" max="7" width="13.21875" style="19" customWidth="1"/>
    <col min="8" max="8" width="16.5546875" style="19" customWidth="1"/>
    <col min="9" max="9" width="12.77734375" style="19" customWidth="1"/>
    <col min="10" max="16384" width="9.21875" style="19"/>
  </cols>
  <sheetData>
    <row r="1" spans="1:14" ht="12.6" thickBot="1" x14ac:dyDescent="0.3">
      <c r="A1" s="201" t="s">
        <v>71</v>
      </c>
      <c r="B1" s="201"/>
      <c r="C1" s="201"/>
      <c r="D1" s="201"/>
      <c r="E1" s="201"/>
      <c r="F1" s="42"/>
      <c r="G1" s="42"/>
      <c r="H1" s="42"/>
      <c r="I1" s="42"/>
    </row>
    <row r="2" spans="1:14" x14ac:dyDescent="0.25">
      <c r="A2" s="202" t="s">
        <v>72</v>
      </c>
      <c r="B2" s="203"/>
      <c r="C2" s="202" t="s">
        <v>73</v>
      </c>
      <c r="D2" s="203" t="s">
        <v>74</v>
      </c>
      <c r="E2" s="63" t="s">
        <v>83</v>
      </c>
      <c r="F2" s="178" t="s">
        <v>88</v>
      </c>
      <c r="G2" s="179"/>
      <c r="H2" s="182" t="s">
        <v>95</v>
      </c>
      <c r="I2" s="182" t="s">
        <v>96</v>
      </c>
    </row>
    <row r="3" spans="1:14" x14ac:dyDescent="0.25">
      <c r="A3" s="204"/>
      <c r="B3" s="205"/>
      <c r="C3" s="204"/>
      <c r="D3" s="205"/>
      <c r="E3" s="208" t="s">
        <v>75</v>
      </c>
      <c r="F3" s="180"/>
      <c r="G3" s="181"/>
      <c r="H3" s="183"/>
      <c r="I3" s="183"/>
    </row>
    <row r="4" spans="1:14" ht="14.55" customHeight="1" thickBot="1" x14ac:dyDescent="0.3">
      <c r="A4" s="206"/>
      <c r="B4" s="207"/>
      <c r="C4" s="206"/>
      <c r="D4" s="207"/>
      <c r="E4" s="209"/>
      <c r="F4" s="73" t="s">
        <v>97</v>
      </c>
      <c r="G4" s="74" t="s">
        <v>25</v>
      </c>
      <c r="H4" s="184"/>
      <c r="I4" s="184"/>
    </row>
    <row r="5" spans="1:14" ht="145.5" customHeight="1" thickBot="1" x14ac:dyDescent="0.35">
      <c r="A5" s="168" t="s">
        <v>76</v>
      </c>
      <c r="B5" s="43" t="s">
        <v>77</v>
      </c>
      <c r="C5" s="70" t="s">
        <v>84</v>
      </c>
      <c r="D5" s="71" t="s">
        <v>114</v>
      </c>
      <c r="E5" s="72">
        <v>25</v>
      </c>
      <c r="F5" s="78" t="s">
        <v>89</v>
      </c>
      <c r="G5" s="64" t="e">
        <f>('1. Dados_Veículos_e_Postos Abas'!N50-'1. Dados_Veículos_e_Postos Abas'!I50)/'1. Dados_Veículos_e_Postos Abas'!N50</f>
        <v>#DIV/0!</v>
      </c>
      <c r="H5" s="66" t="e">
        <f>IF(G5&lt;=30%,1,IF(G5&lt;=70%,3,5))</f>
        <v>#DIV/0!</v>
      </c>
      <c r="I5" s="68" t="e">
        <f>TRUNC((H5*E5)/100,2)</f>
        <v>#DIV/0!</v>
      </c>
      <c r="J5"/>
      <c r="K5"/>
      <c r="L5"/>
      <c r="N5" s="92"/>
    </row>
    <row r="6" spans="1:14" s="35" customFormat="1" ht="126" customHeight="1" thickBot="1" x14ac:dyDescent="0.35">
      <c r="A6" s="185"/>
      <c r="B6" s="43" t="s">
        <v>85</v>
      </c>
      <c r="C6" s="44" t="s">
        <v>78</v>
      </c>
      <c r="D6" s="55" t="s">
        <v>115</v>
      </c>
      <c r="E6" s="56">
        <v>25</v>
      </c>
      <c r="F6" s="78" t="s">
        <v>90</v>
      </c>
      <c r="G6" s="75">
        <f>('1. Dados_Veículos_e_Postos Abas'!O50-'1. Dados_Veículos_e_Postos Abas'!J50)/1000</f>
        <v>0</v>
      </c>
      <c r="H6" s="66">
        <f>IF(G6&lt;=5,1,IF(G6&lt;=50,3,5))</f>
        <v>1</v>
      </c>
      <c r="I6" s="69">
        <f>TRUNC((H6*E6)/100,2)</f>
        <v>0.25</v>
      </c>
      <c r="J6"/>
      <c r="K6"/>
      <c r="L6"/>
    </row>
    <row r="7" spans="1:14" ht="96.6" thickBot="1" x14ac:dyDescent="0.35">
      <c r="A7" s="59" t="s">
        <v>79</v>
      </c>
      <c r="B7" s="45" t="s">
        <v>86</v>
      </c>
      <c r="C7" s="46" t="s">
        <v>80</v>
      </c>
      <c r="D7" s="57" t="s">
        <v>109</v>
      </c>
      <c r="E7" s="58">
        <v>25</v>
      </c>
      <c r="F7" s="78" t="s">
        <v>91</v>
      </c>
      <c r="G7" s="50">
        <f>'1. Dados_Veículos_e_Postos Abas'!A50</f>
        <v>0</v>
      </c>
      <c r="H7" s="67">
        <f>IF(G7=0,0,IF(G7=1,2,IF(G7&lt;=4,3,5)))</f>
        <v>0</v>
      </c>
      <c r="I7" s="69">
        <f>TRUNC((H7*E7)/100,2)</f>
        <v>0</v>
      </c>
      <c r="J7"/>
      <c r="K7"/>
      <c r="L7" s="48"/>
    </row>
    <row r="8" spans="1:14" ht="54.45" customHeight="1" x14ac:dyDescent="0.3">
      <c r="A8" s="168" t="s">
        <v>81</v>
      </c>
      <c r="B8" s="171" t="s">
        <v>87</v>
      </c>
      <c r="C8" s="174" t="s">
        <v>82</v>
      </c>
      <c r="D8" s="186" t="s">
        <v>110</v>
      </c>
      <c r="E8" s="189">
        <v>25</v>
      </c>
      <c r="F8" s="51" t="s">
        <v>92</v>
      </c>
      <c r="G8" s="76">
        <f>'1. Dados_Veículos_e_Postos Abas'!C52</f>
        <v>0</v>
      </c>
      <c r="H8" s="192" t="e">
        <f>IF(G10&lt;=15,5,IF(G10&lt;=20,3,IF(G10&lt;=25,2,1)))</f>
        <v>#DIV/0!</v>
      </c>
      <c r="I8" s="192" t="e">
        <f>TRUNC((H8*E8)/100,2)</f>
        <v>#DIV/0!</v>
      </c>
      <c r="J8"/>
      <c r="K8"/>
      <c r="L8" s="48"/>
    </row>
    <row r="9" spans="1:14" ht="43.5" customHeight="1" x14ac:dyDescent="0.3">
      <c r="A9" s="169"/>
      <c r="B9" s="172"/>
      <c r="C9" s="175"/>
      <c r="D9" s="187"/>
      <c r="E9" s="190"/>
      <c r="F9" s="52" t="s">
        <v>93</v>
      </c>
      <c r="G9" s="77">
        <f>'1. Dados_Veículos_e_Postos Abas'!O50-'1. Dados_Veículos_e_Postos Abas'!J50</f>
        <v>0</v>
      </c>
      <c r="H9" s="193"/>
      <c r="I9" s="193"/>
      <c r="J9"/>
      <c r="K9"/>
      <c r="L9" s="48"/>
    </row>
    <row r="10" spans="1:14" ht="52.95" customHeight="1" thickBot="1" x14ac:dyDescent="0.35">
      <c r="A10" s="170"/>
      <c r="B10" s="173"/>
      <c r="C10" s="175"/>
      <c r="D10" s="188"/>
      <c r="E10" s="191"/>
      <c r="F10" s="53" t="s">
        <v>94</v>
      </c>
      <c r="G10" s="65" t="e">
        <f>G8/G9</f>
        <v>#DIV/0!</v>
      </c>
      <c r="H10" s="194"/>
      <c r="I10" s="194"/>
      <c r="J10"/>
      <c r="K10"/>
      <c r="L10" s="48"/>
    </row>
    <row r="11" spans="1:14" ht="14.4" x14ac:dyDescent="0.3">
      <c r="E11" s="60">
        <f>SUM(E5:E10)</f>
        <v>100</v>
      </c>
      <c r="H11" s="54" t="s">
        <v>98</v>
      </c>
      <c r="I11" s="54" t="e">
        <f>SUM(I5:I10)</f>
        <v>#DIV/0!</v>
      </c>
      <c r="J11"/>
      <c r="K11"/>
      <c r="L11" s="49"/>
    </row>
    <row r="12" spans="1:14" ht="15" thickBot="1" x14ac:dyDescent="0.35">
      <c r="A12" s="81" t="s">
        <v>119</v>
      </c>
      <c r="B12" s="81"/>
      <c r="E12" s="60"/>
      <c r="H12" s="80"/>
      <c r="I12" s="80"/>
      <c r="J12"/>
      <c r="K12"/>
      <c r="L12" s="49"/>
    </row>
    <row r="13" spans="1:14" ht="39" customHeight="1" thickBot="1" x14ac:dyDescent="0.35">
      <c r="A13" s="198" t="s">
        <v>120</v>
      </c>
      <c r="B13" s="199"/>
      <c r="C13" s="200"/>
      <c r="D13" s="195" t="s">
        <v>124</v>
      </c>
      <c r="E13" s="196"/>
      <c r="F13" s="196"/>
      <c r="G13" s="197"/>
      <c r="H13" s="84" t="str">
        <f>'1. Dados_Veículos_e_Postos Abas'!B3</f>
        <v>Outro</v>
      </c>
      <c r="I13" s="83">
        <f>VLOOKUP(H13,'4.Fatores Conversão'!U1:V17,2,0)</f>
        <v>1</v>
      </c>
      <c r="J13"/>
      <c r="K13"/>
      <c r="L13" s="49"/>
    </row>
    <row r="14" spans="1:14" ht="33.450000000000003" customHeight="1" x14ac:dyDescent="0.25">
      <c r="H14" s="82" t="s">
        <v>121</v>
      </c>
      <c r="I14" s="54" t="e">
        <f>I11*I13</f>
        <v>#DIV/0!</v>
      </c>
    </row>
    <row r="16" spans="1:14" ht="14.4" x14ac:dyDescent="0.3">
      <c r="H16" s="176" t="e">
        <f>IF(I14&lt;3,"Candidatura sem mérito","Candidatura com mérito")</f>
        <v>#DIV/0!</v>
      </c>
      <c r="I16" s="177"/>
    </row>
    <row r="19" spans="7:9" x14ac:dyDescent="0.25">
      <c r="G19" s="87"/>
      <c r="H19" s="87"/>
      <c r="I19" s="88"/>
    </row>
    <row r="20" spans="7:9" x14ac:dyDescent="0.25">
      <c r="G20" s="89"/>
      <c r="H20" s="90"/>
      <c r="I20" s="90"/>
    </row>
    <row r="21" spans="7:9" ht="87" customHeight="1" x14ac:dyDescent="0.25">
      <c r="G21" s="89"/>
      <c r="H21" s="90"/>
      <c r="I21" s="91"/>
    </row>
    <row r="22" spans="7:9" ht="88.05" customHeight="1" x14ac:dyDescent="0.25">
      <c r="G22" s="89"/>
      <c r="H22" s="90"/>
      <c r="I22" s="91"/>
    </row>
    <row r="23" spans="7:9" x14ac:dyDescent="0.25">
      <c r="G23" s="88"/>
      <c r="H23" s="88"/>
      <c r="I23" s="88"/>
    </row>
  </sheetData>
  <sheetProtection algorithmName="SHA-512" hashValue="A2ollOfCKJ+LpIqQk3JZ/v+3gPRGIvzxJHu+GTcgxsBJw6JB/c3ZGEehd8AnUe/qvApGqityOgyz2U0cGFHapw==" saltValue="MMSlLanFntXhm/YXRNQTcA==" spinCount="100000" sheet="1" objects="1" scenarios="1"/>
  <mergeCells count="19">
    <mergeCell ref="A1:E1"/>
    <mergeCell ref="A2:B4"/>
    <mergeCell ref="C2:C4"/>
    <mergeCell ref="D2:D4"/>
    <mergeCell ref="E3:E4"/>
    <mergeCell ref="A8:A10"/>
    <mergeCell ref="B8:B10"/>
    <mergeCell ref="C8:C10"/>
    <mergeCell ref="H16:I16"/>
    <mergeCell ref="F2:G3"/>
    <mergeCell ref="H2:H4"/>
    <mergeCell ref="I2:I4"/>
    <mergeCell ref="A5:A6"/>
    <mergeCell ref="D8:D10"/>
    <mergeCell ref="E8:E10"/>
    <mergeCell ref="H8:H10"/>
    <mergeCell ref="I8:I10"/>
    <mergeCell ref="D13:G13"/>
    <mergeCell ref="A13:C13"/>
  </mergeCells>
  <conditionalFormatting sqref="H16">
    <cfRule type="containsText" dxfId="0" priority="1" operator="containsText" text="Candidatura sem mérito">
      <formula>NOT(ISERROR(SEARCH("Candidatura sem mérito",H16)))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9E26D-8F73-46BC-8FFF-FED728944F41}">
  <dimension ref="A1:V21"/>
  <sheetViews>
    <sheetView workbookViewId="0">
      <selection activeCell="G9" sqref="G9"/>
    </sheetView>
  </sheetViews>
  <sheetFormatPr defaultColWidth="8.77734375" defaultRowHeight="12" x14ac:dyDescent="0.25"/>
  <cols>
    <col min="1" max="1" width="22.77734375" style="19" customWidth="1"/>
    <col min="2" max="2" width="13.44140625" style="19" customWidth="1"/>
    <col min="3" max="3" width="19.6640625" style="19" customWidth="1"/>
    <col min="4" max="4" width="23.21875" style="19" customWidth="1"/>
    <col min="5" max="20" width="8.77734375" style="19"/>
    <col min="21" max="21" width="19.77734375" style="19" customWidth="1"/>
    <col min="22" max="16384" width="8.77734375" style="19"/>
  </cols>
  <sheetData>
    <row r="1" spans="1:22" s="1" customFormat="1" x14ac:dyDescent="0.25">
      <c r="A1" s="218" t="s">
        <v>22</v>
      </c>
      <c r="B1" s="214" t="s">
        <v>23</v>
      </c>
      <c r="C1" s="215"/>
      <c r="D1" s="216" t="s">
        <v>24</v>
      </c>
      <c r="I1" s="27"/>
      <c r="J1" s="24"/>
      <c r="K1" s="24"/>
      <c r="L1" s="27" t="s">
        <v>51</v>
      </c>
      <c r="M1" s="24" t="s">
        <v>60</v>
      </c>
      <c r="N1" s="24"/>
      <c r="O1" s="24"/>
      <c r="P1" s="27" t="s">
        <v>19</v>
      </c>
      <c r="Q1" s="24" t="s">
        <v>20</v>
      </c>
      <c r="T1" s="1" t="s">
        <v>122</v>
      </c>
      <c r="U1" s="1" t="s">
        <v>125</v>
      </c>
      <c r="V1" s="1">
        <v>1.2</v>
      </c>
    </row>
    <row r="2" spans="1:22" s="1" customFormat="1" ht="16.5" customHeight="1" x14ac:dyDescent="0.25">
      <c r="A2" s="219"/>
      <c r="B2" s="2" t="s">
        <v>25</v>
      </c>
      <c r="C2" s="3" t="s">
        <v>16</v>
      </c>
      <c r="D2" s="4" t="s">
        <v>26</v>
      </c>
      <c r="I2" s="28"/>
      <c r="J2" s="24"/>
      <c r="K2" s="24"/>
      <c r="L2" s="27" t="s">
        <v>52</v>
      </c>
      <c r="M2" s="24" t="s">
        <v>59</v>
      </c>
      <c r="N2" s="24"/>
      <c r="O2" s="24"/>
      <c r="P2" s="27" t="s">
        <v>27</v>
      </c>
      <c r="Q2" s="24" t="s">
        <v>20</v>
      </c>
      <c r="T2" s="1" t="s">
        <v>123</v>
      </c>
      <c r="U2" s="1" t="s">
        <v>126</v>
      </c>
      <c r="V2" s="1">
        <v>1.2</v>
      </c>
    </row>
    <row r="3" spans="1:22" s="1" customFormat="1" ht="13.8" x14ac:dyDescent="0.25">
      <c r="A3" s="5" t="s">
        <v>19</v>
      </c>
      <c r="B3" s="6">
        <v>0.85499999999999998</v>
      </c>
      <c r="C3" s="7" t="s">
        <v>46</v>
      </c>
      <c r="D3" s="212" t="s">
        <v>26</v>
      </c>
      <c r="I3" s="29" t="s">
        <v>34</v>
      </c>
      <c r="J3" s="26" t="s">
        <v>45</v>
      </c>
      <c r="K3" s="24"/>
      <c r="L3" s="30"/>
      <c r="M3" s="24"/>
      <c r="N3" s="24"/>
      <c r="O3" s="24"/>
      <c r="P3" s="27" t="s">
        <v>29</v>
      </c>
      <c r="Q3" s="24" t="s">
        <v>48</v>
      </c>
      <c r="U3" s="1" t="s">
        <v>143</v>
      </c>
      <c r="V3" s="1">
        <v>1.2</v>
      </c>
    </row>
    <row r="4" spans="1:22" s="1" customFormat="1" ht="13.8" x14ac:dyDescent="0.25">
      <c r="A4" s="5" t="s">
        <v>27</v>
      </c>
      <c r="B4" s="8">
        <v>0.78400000000000003</v>
      </c>
      <c r="C4" s="7" t="s">
        <v>46</v>
      </c>
      <c r="D4" s="217" t="s">
        <v>28</v>
      </c>
      <c r="I4" s="24" t="s">
        <v>36</v>
      </c>
      <c r="J4" s="24" t="s">
        <v>48</v>
      </c>
      <c r="K4" s="24"/>
      <c r="L4" s="27" t="s">
        <v>53</v>
      </c>
      <c r="M4" s="24"/>
      <c r="N4" s="24"/>
      <c r="O4" s="24"/>
      <c r="P4" s="27" t="s">
        <v>31</v>
      </c>
      <c r="Q4" s="24" t="s">
        <v>63</v>
      </c>
      <c r="U4" s="1" t="s">
        <v>127</v>
      </c>
      <c r="V4" s="1">
        <v>1.2</v>
      </c>
    </row>
    <row r="5" spans="1:22" s="1" customFormat="1" x14ac:dyDescent="0.25">
      <c r="A5" s="5" t="s">
        <v>29</v>
      </c>
      <c r="B5" s="9">
        <v>1.0987</v>
      </c>
      <c r="C5" s="7" t="s">
        <v>30</v>
      </c>
      <c r="D5" s="217" t="s">
        <v>28</v>
      </c>
      <c r="I5" s="27"/>
      <c r="J5" s="24"/>
      <c r="K5" s="24"/>
      <c r="L5" s="30" t="s">
        <v>54</v>
      </c>
      <c r="M5" s="24"/>
      <c r="N5" s="24"/>
      <c r="O5" s="24"/>
      <c r="P5" s="27" t="s">
        <v>33</v>
      </c>
      <c r="Q5" s="24" t="s">
        <v>48</v>
      </c>
      <c r="U5" s="1" t="s">
        <v>128</v>
      </c>
      <c r="V5" s="1">
        <v>1.2</v>
      </c>
    </row>
    <row r="6" spans="1:22" s="1" customFormat="1" ht="13.8" x14ac:dyDescent="0.25">
      <c r="A6" s="5" t="s">
        <v>31</v>
      </c>
      <c r="B6" s="10">
        <f>0.000914*1000</f>
        <v>0.91400000000000003</v>
      </c>
      <c r="C6" s="7" t="s">
        <v>47</v>
      </c>
      <c r="D6" s="213" t="s">
        <v>32</v>
      </c>
      <c r="I6" s="24"/>
      <c r="J6" s="24"/>
      <c r="K6" s="24"/>
      <c r="L6" s="24" t="s">
        <v>55</v>
      </c>
      <c r="M6" s="24"/>
      <c r="N6" s="24"/>
      <c r="O6" s="24"/>
      <c r="P6" s="24"/>
      <c r="Q6" s="24"/>
      <c r="U6" s="1" t="s">
        <v>129</v>
      </c>
      <c r="V6" s="1">
        <v>1.2</v>
      </c>
    </row>
    <row r="7" spans="1:22" s="1" customFormat="1" x14ac:dyDescent="0.25">
      <c r="A7" s="5" t="s">
        <v>33</v>
      </c>
      <c r="B7" s="11">
        <v>1.0556989999999999</v>
      </c>
      <c r="C7" s="7" t="s">
        <v>30</v>
      </c>
      <c r="D7" s="12" t="s">
        <v>28</v>
      </c>
      <c r="I7" s="24"/>
      <c r="J7" s="24"/>
      <c r="K7" s="24"/>
      <c r="L7" s="26" t="s">
        <v>56</v>
      </c>
      <c r="M7" s="24"/>
      <c r="N7" s="24"/>
      <c r="O7" s="24"/>
      <c r="P7" s="24" t="s">
        <v>111</v>
      </c>
      <c r="Q7" s="24"/>
      <c r="U7" s="1" t="s">
        <v>139</v>
      </c>
      <c r="V7" s="1">
        <v>1.2</v>
      </c>
    </row>
    <row r="8" spans="1:22" s="1" customFormat="1" x14ac:dyDescent="0.25">
      <c r="A8" s="5" t="s">
        <v>34</v>
      </c>
      <c r="B8" s="11">
        <v>86</v>
      </c>
      <c r="C8" s="7" t="s">
        <v>35</v>
      </c>
      <c r="D8" s="212" t="s">
        <v>26</v>
      </c>
      <c r="I8" s="24"/>
      <c r="J8" s="24"/>
      <c r="K8" s="24"/>
      <c r="L8" s="26" t="s">
        <v>57</v>
      </c>
      <c r="M8" s="24"/>
      <c r="N8" s="24"/>
      <c r="O8" s="24"/>
      <c r="P8" s="24" t="s">
        <v>112</v>
      </c>
      <c r="Q8" s="24"/>
      <c r="U8" s="1" t="s">
        <v>130</v>
      </c>
      <c r="V8" s="1">
        <v>1.2</v>
      </c>
    </row>
    <row r="9" spans="1:22" s="1" customFormat="1" x14ac:dyDescent="0.25">
      <c r="A9" s="5" t="s">
        <v>36</v>
      </c>
      <c r="B9" s="6">
        <v>2.86</v>
      </c>
      <c r="C9" s="7" t="s">
        <v>30</v>
      </c>
      <c r="D9" s="213"/>
      <c r="P9" s="1" t="s">
        <v>113</v>
      </c>
      <c r="U9" s="1" t="s">
        <v>131</v>
      </c>
      <c r="V9" s="1">
        <v>1.2</v>
      </c>
    </row>
    <row r="10" spans="1:22" s="1" customFormat="1" x14ac:dyDescent="0.25">
      <c r="A10" s="13"/>
      <c r="B10" s="13"/>
      <c r="C10" s="13"/>
      <c r="D10" s="13"/>
      <c r="U10" s="1" t="s">
        <v>132</v>
      </c>
      <c r="V10" s="1">
        <v>1.2</v>
      </c>
    </row>
    <row r="11" spans="1:22" s="1" customFormat="1" x14ac:dyDescent="0.25">
      <c r="A11" s="13"/>
      <c r="B11" s="13"/>
      <c r="C11" s="13"/>
      <c r="D11" s="13"/>
      <c r="U11" s="1" t="s">
        <v>133</v>
      </c>
      <c r="V11" s="1">
        <v>1.2</v>
      </c>
    </row>
    <row r="12" spans="1:22" s="1" customFormat="1" x14ac:dyDescent="0.25">
      <c r="A12" s="14" t="s">
        <v>37</v>
      </c>
      <c r="B12" s="13"/>
      <c r="C12" s="13"/>
      <c r="D12" s="13"/>
      <c r="U12" s="1" t="s">
        <v>134</v>
      </c>
      <c r="V12" s="1">
        <v>1.2</v>
      </c>
    </row>
    <row r="13" spans="1:22" s="1" customFormat="1" x14ac:dyDescent="0.25">
      <c r="A13" s="220" t="s">
        <v>22</v>
      </c>
      <c r="B13" s="221" t="s">
        <v>38</v>
      </c>
      <c r="C13" s="221"/>
      <c r="D13" s="13"/>
      <c r="U13" s="1" t="s">
        <v>135</v>
      </c>
      <c r="V13" s="1">
        <v>1.2</v>
      </c>
    </row>
    <row r="14" spans="1:22" s="1" customFormat="1" ht="14.55" customHeight="1" x14ac:dyDescent="0.25">
      <c r="A14" s="220"/>
      <c r="B14" s="3" t="s">
        <v>39</v>
      </c>
      <c r="C14" s="15" t="s">
        <v>24</v>
      </c>
      <c r="D14" s="13"/>
      <c r="U14" s="1" t="s">
        <v>136</v>
      </c>
      <c r="V14" s="1">
        <v>1.2</v>
      </c>
    </row>
    <row r="15" spans="1:22" s="1" customFormat="1" x14ac:dyDescent="0.25">
      <c r="A15" s="16" t="s">
        <v>19</v>
      </c>
      <c r="B15" s="17">
        <v>3102</v>
      </c>
      <c r="C15" s="210" t="s">
        <v>40</v>
      </c>
      <c r="D15" s="13"/>
      <c r="U15" s="1" t="s">
        <v>137</v>
      </c>
      <c r="V15" s="1">
        <v>1.2</v>
      </c>
    </row>
    <row r="16" spans="1:22" s="1" customFormat="1" x14ac:dyDescent="0.25">
      <c r="A16" s="16" t="s">
        <v>27</v>
      </c>
      <c r="B16" s="17">
        <v>2901.4524000000001</v>
      </c>
      <c r="C16" s="211"/>
      <c r="D16" s="13"/>
      <c r="F16" s="1" t="s">
        <v>41</v>
      </c>
      <c r="U16" s="1" t="s">
        <v>138</v>
      </c>
      <c r="V16" s="1">
        <v>1.2</v>
      </c>
    </row>
    <row r="17" spans="1:22" s="1" customFormat="1" x14ac:dyDescent="0.25">
      <c r="A17" s="16" t="s">
        <v>29</v>
      </c>
      <c r="B17" s="17">
        <v>2641.8708000000001</v>
      </c>
      <c r="C17" s="211"/>
      <c r="D17" s="13"/>
      <c r="U17" s="1" t="s">
        <v>140</v>
      </c>
      <c r="V17" s="1">
        <v>1</v>
      </c>
    </row>
    <row r="18" spans="1:22" s="1" customFormat="1" x14ac:dyDescent="0.25">
      <c r="A18" s="16" t="s">
        <v>31</v>
      </c>
      <c r="B18" s="17">
        <v>2349</v>
      </c>
      <c r="C18" s="211"/>
      <c r="D18" s="13"/>
    </row>
    <row r="19" spans="1:22" s="1" customFormat="1" x14ac:dyDescent="0.25">
      <c r="A19" s="16" t="s">
        <v>33</v>
      </c>
      <c r="B19" s="17">
        <v>2687.9256</v>
      </c>
      <c r="C19" s="211"/>
      <c r="D19" s="13"/>
    </row>
    <row r="20" spans="1:22" s="1" customFormat="1" x14ac:dyDescent="0.25">
      <c r="A20" s="16" t="s">
        <v>34</v>
      </c>
      <c r="B20" s="17">
        <v>0</v>
      </c>
      <c r="C20" s="211"/>
      <c r="D20" s="13"/>
    </row>
    <row r="21" spans="1:22" s="1" customFormat="1" x14ac:dyDescent="0.25">
      <c r="A21" s="16" t="s">
        <v>36</v>
      </c>
      <c r="B21" s="17">
        <v>0</v>
      </c>
      <c r="C21" s="18"/>
      <c r="D21" s="13"/>
    </row>
  </sheetData>
  <sheetProtection algorithmName="SHA-512" hashValue="sscgxbsGuR0dCuDpeD+MD2EbkslU77lbgJ/wOw2G3w2nCzSGR9RdUz/yIOHTyrykDS4fdH/yjWer6Snq9R9rFQ==" saltValue="tnHbD+QL8EZDYOz3FEWZmw==" spinCount="100000" sheet="1" objects="1" scenarios="1"/>
  <mergeCells count="7">
    <mergeCell ref="C15:C20"/>
    <mergeCell ref="D8:D9"/>
    <mergeCell ref="B1:D1"/>
    <mergeCell ref="D3:D6"/>
    <mergeCell ref="A1:A2"/>
    <mergeCell ref="A13:A14"/>
    <mergeCell ref="B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1. Dados_Veículos_e_Postos Abas</vt:lpstr>
      <vt:lpstr>2. Indicadores</vt:lpstr>
      <vt:lpstr>3. Critérios Seleção</vt:lpstr>
      <vt:lpstr>4.Fatores Conversão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rita.pereira</dc:creator>
  <cp:lastModifiedBy>Bruno Pimenta</cp:lastModifiedBy>
  <dcterms:created xsi:type="dcterms:W3CDTF">2021-04-01T10:54:32Z</dcterms:created>
  <dcterms:modified xsi:type="dcterms:W3CDTF">2021-07-30T09:12:54Z</dcterms:modified>
</cp:coreProperties>
</file>